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600" windowHeight="7710" activeTab="0"/>
  </bookViews>
  <sheets>
    <sheet name="2° sem. 2016" sheetId="1" r:id="rId1"/>
    <sheet name="1° sem. 2017" sheetId="2" r:id="rId2"/>
    <sheet name="2° sem. 2017" sheetId="3" r:id="rId3"/>
    <sheet name="1° sem. 2018" sheetId="4" r:id="rId4"/>
    <sheet name="2° sem. 2018" sheetId="5" r:id="rId5"/>
  </sheets>
  <definedNames>
    <definedName name="_xlnm.Print_Area" localSheetId="3">'1° sem. 2018'!$A$1:$E$236</definedName>
    <definedName name="_xlnm.Print_Area" localSheetId="2">'2° sem. 2017'!$A$1:$E$256</definedName>
    <definedName name="_xlnm.Print_Area" localSheetId="4">'2° sem. 2018'!$A$1:$E$236</definedName>
    <definedName name="_xlnm.Print_Titles" localSheetId="3">'1° sem. 2018'!$1:$4</definedName>
  </definedNames>
  <calcPr fullCalcOnLoad="1"/>
</workbook>
</file>

<file path=xl/sharedStrings.xml><?xml version="1.0" encoding="utf-8"?>
<sst xmlns="http://schemas.openxmlformats.org/spreadsheetml/2006/main" count="1150" uniqueCount="138">
  <si>
    <t>Total de Hogares</t>
  </si>
  <si>
    <t>Características Habitacionales</t>
  </si>
  <si>
    <t>Calidad de los materiales de la vivienda</t>
  </si>
  <si>
    <t xml:space="preserve">           Insuficiente</t>
  </si>
  <si>
    <t xml:space="preserve">           Parcialmente insuficiente</t>
  </si>
  <si>
    <t xml:space="preserve">           Suficiente</t>
  </si>
  <si>
    <t>Sin hacinamiento crítico</t>
  </si>
  <si>
    <t xml:space="preserve">           Menos de 2 personas por cuarto</t>
  </si>
  <si>
    <t xml:space="preserve">           De 2 a 3 personas por cuarto</t>
  </si>
  <si>
    <t>Con hacinamiento crítico (más de 3 personas por cuarto)</t>
  </si>
  <si>
    <t xml:space="preserve">           Adecuado</t>
  </si>
  <si>
    <t xml:space="preserve">           Inadecuado</t>
  </si>
  <si>
    <t xml:space="preserve">            Tiene</t>
  </si>
  <si>
    <t xml:space="preserve">            No tiene</t>
  </si>
  <si>
    <t>Disponibilidad de agua en la vivienda</t>
  </si>
  <si>
    <t xml:space="preserve">             Dentro de la vivienda</t>
  </si>
  <si>
    <t xml:space="preserve">                    Red pública (agua corriente)</t>
  </si>
  <si>
    <t xml:space="preserve">                    Perforación con bomba a motor</t>
  </si>
  <si>
    <t xml:space="preserve">                    Perforación con bomba manual u otra fuente</t>
  </si>
  <si>
    <t xml:space="preserve">             Fuera de la vivienda</t>
  </si>
  <si>
    <t>Servicios Públicos (2)</t>
  </si>
  <si>
    <t>Agua procedente de red pública (agua corriente)</t>
  </si>
  <si>
    <t xml:space="preserve">              Accede</t>
  </si>
  <si>
    <t xml:space="preserve">              No accede </t>
  </si>
  <si>
    <t>Desagüe del inodoro a red pública (cloacas)</t>
  </si>
  <si>
    <t>Gas de red</t>
  </si>
  <si>
    <t>No accede a algún servicio/red pública</t>
  </si>
  <si>
    <t>Características del Hábitat</t>
  </si>
  <si>
    <t xml:space="preserve">              Propietario de la vivienda y el terreno</t>
  </si>
  <si>
    <t xml:space="preserve">              Propietario de la vivienda solamente</t>
  </si>
  <si>
    <t xml:space="preserve">              Inquilino/arrendatario de la vivienda</t>
  </si>
  <si>
    <t xml:space="preserve">              Ocupante</t>
  </si>
  <si>
    <t xml:space="preserve">              Otros</t>
  </si>
  <si>
    <t>Educación</t>
  </si>
  <si>
    <t>Clima Educativo del Hogar</t>
  </si>
  <si>
    <t xml:space="preserve">    Muy Bajo</t>
  </si>
  <si>
    <t xml:space="preserve">    Bajo</t>
  </si>
  <si>
    <t xml:space="preserve">    Medio</t>
  </si>
  <si>
    <t xml:space="preserve">    Alto</t>
  </si>
  <si>
    <t xml:space="preserve">    Muy Alto</t>
  </si>
  <si>
    <t>Total de Personas</t>
  </si>
  <si>
    <t>Cobertura Médica</t>
  </si>
  <si>
    <t>Población Total</t>
  </si>
  <si>
    <t xml:space="preserve">    Obra social, prepaga, mutual y/o servicio de emergencia</t>
  </si>
  <si>
    <t xml:space="preserve">    Sólo sistema público</t>
  </si>
  <si>
    <t xml:space="preserve">    Ns./Nr.</t>
  </si>
  <si>
    <t>Por sexo</t>
  </si>
  <si>
    <t xml:space="preserve">    Mujeres</t>
  </si>
  <si>
    <t xml:space="preserve">            Obra social, prepaga, mutual y/o servicio de emergencia</t>
  </si>
  <si>
    <t xml:space="preserve">            Sólo sistema público</t>
  </si>
  <si>
    <t xml:space="preserve">            Ns./Nr.</t>
  </si>
  <si>
    <t xml:space="preserve">    Varones</t>
  </si>
  <si>
    <t>Por grupo de edad</t>
  </si>
  <si>
    <t xml:space="preserve">    Hasta 17 años</t>
  </si>
  <si>
    <t xml:space="preserve">    18 a 64 años</t>
  </si>
  <si>
    <t xml:space="preserve">    65 años y más</t>
  </si>
  <si>
    <t>Asistencia a un establecimiento educativo de la población de 4 a 17 años</t>
  </si>
  <si>
    <t xml:space="preserve">           Asiste</t>
  </si>
  <si>
    <t xml:space="preserve">           No asiste</t>
  </si>
  <si>
    <t xml:space="preserve">    4 años</t>
  </si>
  <si>
    <t xml:space="preserve">    5 a 14 años</t>
  </si>
  <si>
    <t xml:space="preserve">    15 a 17 años</t>
  </si>
  <si>
    <t>Por Clima Educativo del Hogar</t>
  </si>
  <si>
    <t>Asistencia a un establecimiento educativo de la población de 18 a 24 años</t>
  </si>
  <si>
    <t>Según niveles en curso</t>
  </si>
  <si>
    <t xml:space="preserve">    Asiste</t>
  </si>
  <si>
    <t xml:space="preserve">           Primario</t>
  </si>
  <si>
    <t xml:space="preserve">           Secundario</t>
  </si>
  <si>
    <t xml:space="preserve">           Superior/Universitario</t>
  </si>
  <si>
    <t xml:space="preserve">           Educación Especial</t>
  </si>
  <si>
    <t>Según niveles alcanzados</t>
  </si>
  <si>
    <t xml:space="preserve">    No asiste</t>
  </si>
  <si>
    <t xml:space="preserve">           Hasta Primario Incompleto</t>
  </si>
  <si>
    <t xml:space="preserve">           Primario Completo</t>
  </si>
  <si>
    <t xml:space="preserve">           Secundario Incompleto</t>
  </si>
  <si>
    <t xml:space="preserve">           Secundario Completo</t>
  </si>
  <si>
    <t xml:space="preserve">           Superior/Universitario Incompleto</t>
  </si>
  <si>
    <t xml:space="preserve">           Superior/Universitario Completo</t>
  </si>
  <si>
    <t xml:space="preserve">    25 a 29 años</t>
  </si>
  <si>
    <t xml:space="preserve">    30 a 64 años</t>
  </si>
  <si>
    <t>Indicadores</t>
  </si>
  <si>
    <t>CV</t>
  </si>
  <si>
    <t>LI</t>
  </si>
  <si>
    <t>LS</t>
  </si>
  <si>
    <t>Intervalo de confianza</t>
  </si>
  <si>
    <t xml:space="preserve">    Sistema privado</t>
  </si>
  <si>
    <t>Vivienda ubicada cerca de basurales (3 cuadras o menos)</t>
  </si>
  <si>
    <t>Vivienda ubicada en zonas inundables (en los últimos 12 meses)</t>
  </si>
  <si>
    <t>Máximo nivel educativo alcanzado por la población de 25 años y más por grupos de edad</t>
  </si>
  <si>
    <t>---</t>
  </si>
  <si>
    <t>2do semestre  2017</t>
  </si>
  <si>
    <t>--- Dato no significativo estadísticamente, con tamaño muestral insuficiente.</t>
  </si>
  <si>
    <r>
      <t>Hacinamiento (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)</t>
    </r>
  </si>
  <si>
    <r>
      <t>Saneamiento (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</si>
  <si>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r>
      <t>Baño con descarga de agua (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</si>
  <si>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r>
      <t>Servicios Públicos (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</si>
  <si>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r>
      <t xml:space="preserve">Vivienda ubicada cerca de basurales </t>
    </r>
    <r>
      <rPr>
        <sz val="8"/>
        <color indexed="8"/>
        <rFont val="Arial"/>
        <family val="2"/>
      </rPr>
      <t>(3 cuadras o menos)</t>
    </r>
  </si>
  <si>
    <r>
      <t>Vivienda ubicada en zonas inundables</t>
    </r>
    <r>
      <rPr>
        <sz val="8"/>
        <color indexed="8"/>
        <rFont val="Arial"/>
        <family val="2"/>
      </rPr>
      <t xml:space="preserve"> (en los últimos 12 meses)</t>
    </r>
  </si>
  <si>
    <r>
      <t>Régimen de Tenencia de la vivienda (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</si>
  <si>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r>
      <t>Cobertura Médica (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)</t>
    </r>
  </si>
  <si>
    <t xml:space="preserve">             Todos los miembros del hogar tienen cobertura sólo del sistema público</t>
  </si>
  <si>
    <t xml:space="preserve">             Al menos un miembro del hogar cubierto sólo por sistema público</t>
  </si>
  <si>
    <r>
      <t>(</t>
    </r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)</t>
    </r>
    <r>
      <rPr>
        <sz val="8"/>
        <color indexed="8"/>
        <rFont val="Arial"/>
        <family val="2"/>
      </rPr>
      <t xml:space="preserve"> No incluye hogares compuestos por pensionistas o servicio doméstico con cama adentro ni hogares sin cuartos de uso exclusivo.</t>
    </r>
  </si>
  <si>
    <r>
      <t>(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</t>
    </r>
    <r>
      <rPr>
        <sz val="8"/>
        <color indexed="8"/>
        <rFont val="Arial"/>
        <family val="2"/>
      </rPr>
      <t xml:space="preserve"> No incluye hogares compuestos por pensionistas o servicio doméstico con cama adentro.</t>
    </r>
  </si>
  <si>
    <r>
      <t>(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) No incluye hogares en los que algún miembro no respondió la pregunta sobre cobertura médica.</t>
    </r>
  </si>
  <si>
    <r>
      <t>(</t>
    </r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)</t>
    </r>
    <r>
      <rPr>
        <sz val="8"/>
        <color indexed="8"/>
        <rFont val="Arial"/>
        <family val="2"/>
      </rPr>
      <t xml:space="preserve"> No incluye personas sin información respecto de la asistencia escolar o del Clima Educativo del Hogar.</t>
    </r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</si>
  <si>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INDEC.</t>
    </r>
  </si>
  <si>
    <t xml:space="preserve">--- </t>
  </si>
  <si>
    <t>Clima Educativo del Hogar de la población de 4 a 17 años</t>
  </si>
  <si>
    <r>
      <t>(</t>
    </r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) No incluye hogares compuestos por pensionistas o servicio doméstico con cama adentro ni hogares sin cuartos de uso exclusivo.</t>
    </r>
  </si>
  <si>
    <r>
      <t>(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 No incluye hogares compuestos por pensionistas o servicio doméstico con cama adentro.</t>
    </r>
  </si>
  <si>
    <r>
      <t>(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) No incluye personas sin información respecto de la asistencia escolar o del Clima Educativo del Hogar.</t>
    </r>
  </si>
  <si>
    <r>
      <t>(</t>
    </r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) No incluye personas sin información respecto de la asistencia escolar o del Clima Educativo del Hogar.</t>
    </r>
  </si>
  <si>
    <t>2do. semestre 2017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</si>
  <si>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No incluye hogares compuestos por pensionistas o servicio doméstico con cama adentro ni hogares sin cuartos de uso exclusivo.</t>
    </r>
  </si>
  <si>
    <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No incluye hogares compuestos por pensionistas o servicio doméstico con cama adentro.</t>
    </r>
  </si>
  <si>
    <r>
      <t>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 No incluye personas sin información respecto de la asistencia escolar o del Clima Educativo del Hogar.</t>
    </r>
  </si>
  <si>
    <r>
      <t>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 No incluye hogares en los que algún miembro no respondió la pregunta sobre cobertura médica.</t>
    </r>
  </si>
  <si>
    <r>
      <t>(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) No incluye personas sin información respecto de la asistencia escolar o del Clima Educativo del Hogar.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</si>
  <si>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INDEC. </t>
    </r>
  </si>
  <si>
    <t>Indicadores de condiciones de vida. Hogares, Coeficiente de variacion e intervalos de confianza al 90%. Total 31 aglomerados urbanos</t>
  </si>
  <si>
    <t>1er. semestre 2018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</si>
  <si>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INDEC.</t>
    </r>
  </si>
  <si>
    <t xml:space="preserve"> Indicadores de condiciones de vida. Hogares, Coeficiente de variacion e intervalos de confianza al 90%. Total 31 aglomerados urbanos</t>
  </si>
  <si>
    <t>Indicadores de condiciones de vida. Personas, Coeficiente de variacion e intervalos de confianza al 90%. Total 31 aglomerados urbanos</t>
  </si>
  <si>
    <t>Asistencia a un establecimiento educativo</t>
  </si>
  <si>
    <r>
      <t>Hacinamiento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</si>
  <si>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Saneamiento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</si>
  <si>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Baño con descarga de agua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</si>
  <si>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Servicios Públicos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</si>
  <si>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Régimen de Tenencia de la vivienda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</si>
  <si>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Educación 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</si>
  <si>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Cobertura Médica 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</si>
  <si>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2do. semestre 2018</t>
  </si>
  <si>
    <t>1er. semestre 2017</t>
  </si>
  <si>
    <t>2do. semestre 2016</t>
  </si>
  <si>
    <r>
      <t>Educación (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)</t>
    </r>
  </si>
  <si>
    <t xml:space="preserve"> Indicadores de condiciones de vida. Personas, Coeficiente de variacion e intervalos de confianza al 90%. Total 31 aglomerados urbanos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</si>
</sst>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000"/>
    <numFmt numFmtId="183" formatCode="0.000000"/>
    <numFmt numFmtId="184" formatCode="0.00000"/>
    <numFmt numFmtId="185" formatCode="0.0000"/>
    <numFmt numFmtId="186" formatCode="###########0"/>
    <numFmt numFmtId="187" formatCode="####0.000000"/>
    <numFmt numFmtId="188" formatCode="####0.00000"/>
    <numFmt numFmtId="189" formatCode="####0.0000"/>
    <numFmt numFmtId="190" formatCode="0.00000000"/>
    <numFmt numFmtId="191" formatCode="#####0.000"/>
    <numFmt numFmtId="192" formatCode="#######0"/>
    <numFmt numFmtId="193" formatCode="##0.00"/>
    <numFmt numFmtId="194" formatCode="##0.0"/>
    <numFmt numFmtId="195" formatCode="##0"/>
    <numFmt numFmtId="196" formatCode="####0.0"/>
    <numFmt numFmtId="197" formatCode="0.0;[Red]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33" borderId="0" xfId="48" applyFont="1" applyFill="1" applyAlignment="1">
      <alignment horizontal="center"/>
      <protection/>
    </xf>
    <xf numFmtId="0" fontId="6" fillId="0" borderId="0" xfId="48" applyFont="1">
      <alignment/>
      <protection/>
    </xf>
    <xf numFmtId="0" fontId="4" fillId="0" borderId="0" xfId="48" applyFont="1">
      <alignment/>
      <protection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48">
      <alignment/>
      <protection/>
    </xf>
    <xf numFmtId="0" fontId="2" fillId="0" borderId="0" xfId="48" applyFont="1" applyAlignment="1">
      <alignment horizontal="center"/>
      <protection/>
    </xf>
    <xf numFmtId="0" fontId="7" fillId="0" borderId="10" xfId="48" applyFont="1" applyBorder="1" applyAlignment="1">
      <alignment horizontal="center"/>
      <protection/>
    </xf>
    <xf numFmtId="0" fontId="8" fillId="0" borderId="0" xfId="48" applyFont="1" applyAlignment="1">
      <alignment horizontal="center"/>
      <protection/>
    </xf>
    <xf numFmtId="0" fontId="7" fillId="0" borderId="11" xfId="48" applyFont="1" applyBorder="1" applyAlignment="1">
      <alignment horizontal="center"/>
      <protection/>
    </xf>
    <xf numFmtId="0" fontId="7" fillId="0" borderId="0" xfId="48" applyFont="1" applyBorder="1" applyAlignment="1">
      <alignment wrapText="1"/>
      <protection/>
    </xf>
    <xf numFmtId="0" fontId="7" fillId="0" borderId="0" xfId="48" applyFont="1" applyBorder="1" applyAlignment="1">
      <alignment horizontal="center"/>
      <protection/>
    </xf>
    <xf numFmtId="0" fontId="9" fillId="0" borderId="0" xfId="48" applyFont="1" applyBorder="1" applyAlignment="1">
      <alignment wrapText="1"/>
      <protection/>
    </xf>
    <xf numFmtId="3" fontId="7" fillId="0" borderId="0" xfId="48" applyNumberFormat="1" applyFont="1" applyFill="1" applyBorder="1" applyAlignment="1">
      <alignment horizontal="center"/>
      <protection/>
    </xf>
    <xf numFmtId="0" fontId="9" fillId="34" borderId="0" xfId="48" applyFont="1" applyFill="1" applyBorder="1" applyAlignment="1">
      <alignment horizontal="left" wrapText="1"/>
      <protection/>
    </xf>
    <xf numFmtId="180" fontId="7" fillId="34" borderId="0" xfId="48" applyNumberFormat="1" applyFont="1" applyFill="1" applyBorder="1" applyAlignment="1">
      <alignment horizontal="center"/>
      <protection/>
    </xf>
    <xf numFmtId="180" fontId="7" fillId="0" borderId="0" xfId="48" applyNumberFormat="1" applyFont="1" applyBorder="1" applyAlignment="1">
      <alignment horizontal="center"/>
      <protection/>
    </xf>
    <xf numFmtId="0" fontId="7" fillId="0" borderId="0" xfId="48" applyFont="1" applyBorder="1">
      <alignment/>
      <protection/>
    </xf>
    <xf numFmtId="0" fontId="9" fillId="0" borderId="0" xfId="48" applyFont="1" applyBorder="1" applyAlignment="1">
      <alignment horizontal="left" wrapText="1"/>
      <protection/>
    </xf>
    <xf numFmtId="49" fontId="7" fillId="0" borderId="0" xfId="48" applyNumberFormat="1" applyFont="1" applyBorder="1" applyAlignment="1">
      <alignment horizontal="center"/>
      <protection/>
    </xf>
    <xf numFmtId="0" fontId="7" fillId="34" borderId="0" xfId="48" applyFont="1" applyFill="1" applyBorder="1" applyAlignment="1">
      <alignment horizontal="center"/>
      <protection/>
    </xf>
    <xf numFmtId="0" fontId="9" fillId="0" borderId="0" xfId="48" applyFont="1" applyBorder="1" applyAlignment="1">
      <alignment horizontal="center" wrapText="1"/>
      <protection/>
    </xf>
    <xf numFmtId="0" fontId="7" fillId="0" borderId="0" xfId="48" applyFont="1" applyBorder="1" applyAlignment="1">
      <alignment horizontal="left" wrapText="1"/>
      <protection/>
    </xf>
    <xf numFmtId="180" fontId="7" fillId="0" borderId="0" xfId="48" applyNumberFormat="1" applyFont="1" applyBorder="1" applyAlignment="1" quotePrefix="1">
      <alignment horizontal="center"/>
      <protection/>
    </xf>
    <xf numFmtId="0" fontId="7" fillId="0" borderId="0" xfId="48" applyFont="1" applyBorder="1" applyAlignment="1" quotePrefix="1">
      <alignment horizontal="center"/>
      <protection/>
    </xf>
    <xf numFmtId="0" fontId="7" fillId="0" borderId="11" xfId="48" applyFont="1" applyBorder="1" applyAlignment="1">
      <alignment horizontal="left" wrapText="1"/>
      <protection/>
    </xf>
    <xf numFmtId="180" fontId="7" fillId="0" borderId="11" xfId="48" applyNumberFormat="1" applyFont="1" applyBorder="1" applyAlignment="1" quotePrefix="1">
      <alignment horizontal="center"/>
      <protection/>
    </xf>
    <xf numFmtId="0" fontId="7" fillId="0" borderId="0" xfId="48" applyFont="1">
      <alignment/>
      <protection/>
    </xf>
    <xf numFmtId="0" fontId="7" fillId="0" borderId="0" xfId="48" applyFont="1" applyAlignment="1">
      <alignment horizontal="left"/>
      <protection/>
    </xf>
    <xf numFmtId="49" fontId="7" fillId="0" borderId="0" xfId="48" applyNumberFormat="1" applyFont="1" applyAlignment="1">
      <alignment horizontal="left"/>
      <protection/>
    </xf>
    <xf numFmtId="0" fontId="12" fillId="0" borderId="0" xfId="48" applyFont="1" applyAlignment="1">
      <alignment horizontal="center"/>
      <protection/>
    </xf>
    <xf numFmtId="180" fontId="12" fillId="0" borderId="0" xfId="48" applyNumberFormat="1" applyFont="1" applyAlignment="1">
      <alignment horizontal="center"/>
      <protection/>
    </xf>
    <xf numFmtId="0" fontId="12" fillId="0" borderId="0" xfId="0" applyFont="1" applyAlignment="1">
      <alignment/>
    </xf>
    <xf numFmtId="0" fontId="9" fillId="0" borderId="0" xfId="48" applyFont="1">
      <alignment/>
      <protection/>
    </xf>
    <xf numFmtId="180" fontId="12" fillId="0" borderId="0" xfId="0" applyNumberFormat="1" applyFont="1" applyBorder="1" applyAlignment="1">
      <alignment horizontal="center"/>
    </xf>
    <xf numFmtId="0" fontId="7" fillId="0" borderId="0" xfId="48" applyFont="1" applyFill="1" applyBorder="1" applyAlignment="1">
      <alignment wrapText="1"/>
      <protection/>
    </xf>
    <xf numFmtId="0" fontId="9" fillId="0" borderId="0" xfId="48" applyFont="1" applyBorder="1">
      <alignment/>
      <protection/>
    </xf>
    <xf numFmtId="0" fontId="7" fillId="0" borderId="0" xfId="48" applyFont="1" applyFill="1" applyBorder="1" applyAlignment="1">
      <alignment horizontal="left" wrapText="1"/>
      <protection/>
    </xf>
    <xf numFmtId="0" fontId="9" fillId="0" borderId="0" xfId="48" applyFont="1" applyFill="1" applyBorder="1">
      <alignment/>
      <protection/>
    </xf>
    <xf numFmtId="0" fontId="7" fillId="0" borderId="11" xfId="48" applyFont="1" applyBorder="1">
      <alignment/>
      <protection/>
    </xf>
    <xf numFmtId="180" fontId="7" fillId="0" borderId="11" xfId="48" applyNumberFormat="1" applyFont="1" applyBorder="1" applyAlignment="1">
      <alignment horizontal="center"/>
      <protection/>
    </xf>
    <xf numFmtId="0" fontId="7" fillId="0" borderId="0" xfId="48" applyFont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48" applyFont="1" applyAlignment="1">
      <alignment/>
      <protection/>
    </xf>
    <xf numFmtId="0" fontId="14" fillId="0" borderId="0" xfId="48" applyFont="1">
      <alignment/>
      <protection/>
    </xf>
    <xf numFmtId="0" fontId="15" fillId="0" borderId="0" xfId="48" applyFont="1" applyAlignment="1">
      <alignment/>
      <protection/>
    </xf>
    <xf numFmtId="180" fontId="12" fillId="35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80" fontId="12" fillId="35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12" fillId="33" borderId="0" xfId="48" applyFont="1" applyFill="1" applyAlignment="1">
      <alignment horizontal="center"/>
      <protection/>
    </xf>
    <xf numFmtId="0" fontId="13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/>
    </xf>
    <xf numFmtId="0" fontId="13" fillId="36" borderId="0" xfId="0" applyFont="1" applyFill="1" applyBorder="1" applyAlignment="1">
      <alignment horizontal="left"/>
    </xf>
    <xf numFmtId="0" fontId="12" fillId="35" borderId="0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180" fontId="12" fillId="33" borderId="0" xfId="0" applyNumberFormat="1" applyFont="1" applyFill="1" applyAlignment="1">
      <alignment/>
    </xf>
    <xf numFmtId="0" fontId="12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right"/>
    </xf>
    <xf numFmtId="194" fontId="12" fillId="33" borderId="0" xfId="0" applyNumberFormat="1" applyFont="1" applyFill="1" applyBorder="1" applyAlignment="1">
      <alignment/>
    </xf>
    <xf numFmtId="180" fontId="12" fillId="33" borderId="0" xfId="0" applyNumberFormat="1" applyFont="1" applyFill="1" applyBorder="1" applyAlignment="1">
      <alignment/>
    </xf>
    <xf numFmtId="180" fontId="12" fillId="35" borderId="0" xfId="0" applyNumberFormat="1" applyFont="1" applyFill="1" applyBorder="1" applyAlignment="1">
      <alignment/>
    </xf>
    <xf numFmtId="0" fontId="12" fillId="36" borderId="0" xfId="0" applyFont="1" applyFill="1" applyBorder="1" applyAlignment="1">
      <alignment horizontal="left"/>
    </xf>
    <xf numFmtId="180" fontId="12" fillId="35" borderId="0" xfId="0" applyNumberFormat="1" applyFont="1" applyFill="1" applyAlignment="1">
      <alignment/>
    </xf>
    <xf numFmtId="180" fontId="12" fillId="35" borderId="11" xfId="0" applyNumberFormat="1" applyFont="1" applyFill="1" applyBorder="1" applyAlignment="1">
      <alignment/>
    </xf>
    <xf numFmtId="180" fontId="48" fillId="35" borderId="0" xfId="0" applyNumberFormat="1" applyFont="1" applyFill="1" applyBorder="1" applyAlignment="1">
      <alignment horizontal="center"/>
    </xf>
    <xf numFmtId="3" fontId="12" fillId="35" borderId="0" xfId="0" applyNumberFormat="1" applyFont="1" applyFill="1" applyBorder="1" applyAlignment="1">
      <alignment horizontal="center"/>
    </xf>
    <xf numFmtId="194" fontId="12" fillId="35" borderId="0" xfId="0" applyNumberFormat="1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right"/>
    </xf>
    <xf numFmtId="194" fontId="12" fillId="35" borderId="0" xfId="0" applyNumberFormat="1" applyFont="1" applyFill="1" applyBorder="1" applyAlignment="1">
      <alignment horizontal="right"/>
    </xf>
    <xf numFmtId="194" fontId="12" fillId="35" borderId="0" xfId="0" applyNumberFormat="1" applyFont="1" applyFill="1" applyBorder="1" applyAlignment="1" quotePrefix="1">
      <alignment horizontal="right"/>
    </xf>
    <xf numFmtId="180" fontId="12" fillId="35" borderId="0" xfId="0" applyNumberFormat="1" applyFont="1" applyFill="1" applyBorder="1" applyAlignment="1">
      <alignment/>
    </xf>
    <xf numFmtId="180" fontId="12" fillId="35" borderId="0" xfId="0" applyNumberFormat="1" applyFont="1" applyFill="1" applyBorder="1" applyAlignment="1" quotePrefix="1">
      <alignment horizontal="right"/>
    </xf>
    <xf numFmtId="194" fontId="12" fillId="35" borderId="0" xfId="0" applyNumberFormat="1" applyFont="1" applyFill="1" applyBorder="1" applyAlignment="1">
      <alignment horizontal="center"/>
    </xf>
    <xf numFmtId="180" fontId="12" fillId="35" borderId="11" xfId="0" applyNumberFormat="1" applyFont="1" applyFill="1" applyBorder="1" applyAlignment="1">
      <alignment horizontal="right"/>
    </xf>
    <xf numFmtId="3" fontId="12" fillId="33" borderId="0" xfId="0" applyNumberFormat="1" applyFont="1" applyFill="1" applyBorder="1" applyAlignment="1">
      <alignment horizontal="right"/>
    </xf>
    <xf numFmtId="0" fontId="13" fillId="33" borderId="0" xfId="0" applyFont="1" applyFill="1" applyBorder="1" applyAlignment="1">
      <alignment horizontal="right"/>
    </xf>
    <xf numFmtId="180" fontId="48" fillId="35" borderId="0" xfId="0" applyNumberFormat="1" applyFont="1" applyFill="1" applyBorder="1" applyAlignment="1">
      <alignment horizontal="right"/>
    </xf>
    <xf numFmtId="0" fontId="12" fillId="35" borderId="0" xfId="0" applyFont="1" applyFill="1" applyBorder="1" applyAlignment="1" quotePrefix="1">
      <alignment horizontal="right"/>
    </xf>
    <xf numFmtId="0" fontId="12" fillId="35" borderId="11" xfId="0" applyFont="1" applyFill="1" applyBorder="1" applyAlignment="1">
      <alignment horizontal="right"/>
    </xf>
    <xf numFmtId="3" fontId="7" fillId="0" borderId="0" xfId="48" applyNumberFormat="1" applyFont="1" applyFill="1" applyBorder="1" applyAlignment="1">
      <alignment horizontal="right"/>
      <protection/>
    </xf>
    <xf numFmtId="0" fontId="12" fillId="33" borderId="0" xfId="48" applyFont="1" applyFill="1" applyAlignment="1">
      <alignment horizontal="right"/>
      <protection/>
    </xf>
    <xf numFmtId="0" fontId="12" fillId="33" borderId="0" xfId="48" applyFont="1" applyFill="1" applyBorder="1" applyAlignment="1">
      <alignment horizontal="right"/>
      <protection/>
    </xf>
    <xf numFmtId="0" fontId="7" fillId="35" borderId="0" xfId="48" applyFont="1" applyFill="1" applyBorder="1" applyAlignment="1">
      <alignment horizontal="right"/>
      <protection/>
    </xf>
    <xf numFmtId="0" fontId="7" fillId="0" borderId="0" xfId="48" applyFont="1" applyBorder="1" applyAlignment="1">
      <alignment horizontal="right"/>
      <protection/>
    </xf>
    <xf numFmtId="180" fontId="7" fillId="0" borderId="0" xfId="48" applyNumberFormat="1" applyFont="1" applyBorder="1" applyAlignment="1">
      <alignment horizontal="right"/>
      <protection/>
    </xf>
    <xf numFmtId="180" fontId="12" fillId="35" borderId="0" xfId="48" applyNumberFormat="1" applyFont="1" applyFill="1" applyAlignment="1">
      <alignment horizontal="right"/>
      <protection/>
    </xf>
    <xf numFmtId="180" fontId="12" fillId="33" borderId="0" xfId="48" applyNumberFormat="1" applyFont="1" applyFill="1" applyBorder="1" applyAlignment="1">
      <alignment horizontal="right" vertical="center"/>
      <protection/>
    </xf>
    <xf numFmtId="180" fontId="7" fillId="35" borderId="0" xfId="48" applyNumberFormat="1" applyFont="1" applyFill="1" applyBorder="1" applyAlignment="1">
      <alignment horizontal="right"/>
      <protection/>
    </xf>
    <xf numFmtId="0" fontId="12" fillId="33" borderId="0" xfId="48" applyFont="1" applyFill="1" applyAlignment="1">
      <alignment horizontal="right" vertical="center"/>
      <protection/>
    </xf>
    <xf numFmtId="196" fontId="12" fillId="33" borderId="0" xfId="0" applyNumberFormat="1" applyFont="1" applyFill="1" applyBorder="1" applyAlignment="1">
      <alignment horizontal="right"/>
    </xf>
    <xf numFmtId="180" fontId="12" fillId="0" borderId="0" xfId="48" applyNumberFormat="1" applyFont="1" applyAlignment="1">
      <alignment horizontal="right"/>
      <protection/>
    </xf>
    <xf numFmtId="180" fontId="12" fillId="33" borderId="0" xfId="48" applyNumberFormat="1" applyFont="1" applyFill="1" applyBorder="1" applyAlignment="1">
      <alignment horizontal="right"/>
      <protection/>
    </xf>
    <xf numFmtId="196" fontId="12" fillId="33" borderId="0" xfId="48" applyNumberFormat="1" applyFont="1" applyFill="1" applyBorder="1" applyAlignment="1">
      <alignment horizontal="right"/>
      <protection/>
    </xf>
    <xf numFmtId="196" fontId="12" fillId="35" borderId="0" xfId="0" applyNumberFormat="1" applyFont="1" applyFill="1" applyBorder="1" applyAlignment="1">
      <alignment horizontal="right"/>
    </xf>
    <xf numFmtId="196" fontId="12" fillId="35" borderId="0" xfId="48" applyNumberFormat="1" applyFont="1" applyFill="1" applyBorder="1" applyAlignment="1">
      <alignment horizontal="right"/>
      <protection/>
    </xf>
    <xf numFmtId="0" fontId="7" fillId="0" borderId="0" xfId="48" applyFont="1" applyBorder="1" applyAlignment="1" quotePrefix="1">
      <alignment horizontal="right"/>
      <protection/>
    </xf>
    <xf numFmtId="196" fontId="12" fillId="0" borderId="0" xfId="0" applyNumberFormat="1" applyFont="1" applyFill="1" applyBorder="1" applyAlignment="1">
      <alignment horizontal="right"/>
    </xf>
    <xf numFmtId="196" fontId="15" fillId="33" borderId="0" xfId="0" applyNumberFormat="1" applyFont="1" applyFill="1" applyBorder="1" applyAlignment="1">
      <alignment horizontal="right"/>
    </xf>
    <xf numFmtId="180" fontId="7" fillId="0" borderId="0" xfId="48" applyNumberFormat="1" applyFont="1" applyBorder="1" applyAlignment="1" quotePrefix="1">
      <alignment horizontal="right"/>
      <protection/>
    </xf>
    <xf numFmtId="0" fontId="7" fillId="0" borderId="11" xfId="48" applyFont="1" applyBorder="1" applyAlignment="1">
      <alignment horizontal="right"/>
      <protection/>
    </xf>
    <xf numFmtId="196" fontId="12" fillId="33" borderId="11" xfId="0" applyNumberFormat="1" applyFont="1" applyFill="1" applyBorder="1" applyAlignment="1">
      <alignment horizontal="right"/>
    </xf>
    <xf numFmtId="0" fontId="12" fillId="0" borderId="0" xfId="48" applyFont="1" applyAlignment="1">
      <alignment horizontal="right"/>
      <protection/>
    </xf>
    <xf numFmtId="49" fontId="7" fillId="0" borderId="0" xfId="48" applyNumberFormat="1" applyFont="1" applyBorder="1" applyAlignment="1">
      <alignment horizontal="right"/>
      <protection/>
    </xf>
    <xf numFmtId="180" fontId="12" fillId="0" borderId="0" xfId="48" applyNumberFormat="1" applyFont="1" applyFill="1" applyAlignment="1">
      <alignment horizontal="right"/>
      <protection/>
    </xf>
    <xf numFmtId="180" fontId="12" fillId="33" borderId="0" xfId="0" applyNumberFormat="1" applyFont="1" applyFill="1" applyBorder="1" applyAlignment="1">
      <alignment horizontal="right" vertical="top"/>
    </xf>
    <xf numFmtId="0" fontId="7" fillId="0" borderId="11" xfId="48" applyFont="1" applyBorder="1" applyAlignment="1" quotePrefix="1">
      <alignment horizontal="right"/>
      <protection/>
    </xf>
    <xf numFmtId="180" fontId="12" fillId="33" borderId="11" xfId="0" applyNumberFormat="1" applyFont="1" applyFill="1" applyBorder="1" applyAlignment="1">
      <alignment horizontal="right" vertical="top"/>
    </xf>
    <xf numFmtId="0" fontId="12" fillId="0" borderId="0" xfId="48" applyFont="1" applyBorder="1" applyAlignment="1">
      <alignment horizontal="right"/>
      <protection/>
    </xf>
    <xf numFmtId="180" fontId="12" fillId="0" borderId="0" xfId="0" applyNumberFormat="1" applyFont="1" applyBorder="1" applyAlignment="1">
      <alignment horizontal="right"/>
    </xf>
    <xf numFmtId="180" fontId="12" fillId="0" borderId="0" xfId="48" applyNumberFormat="1" applyFont="1" applyAlignment="1">
      <alignment horizontal="right" vertical="center"/>
      <protection/>
    </xf>
    <xf numFmtId="180" fontId="12" fillId="35" borderId="0" xfId="48" applyNumberFormat="1" applyFont="1" applyFill="1" applyAlignment="1">
      <alignment horizontal="right" vertical="center"/>
      <protection/>
    </xf>
    <xf numFmtId="180" fontId="7" fillId="0" borderId="11" xfId="48" applyNumberFormat="1" applyFont="1" applyBorder="1" applyAlignment="1">
      <alignment horizontal="right"/>
      <protection/>
    </xf>
    <xf numFmtId="180" fontId="12" fillId="0" borderId="11" xfId="48" applyNumberFormat="1" applyFont="1" applyBorder="1" applyAlignment="1">
      <alignment horizontal="right" vertical="center"/>
      <protection/>
    </xf>
    <xf numFmtId="180" fontId="7" fillId="0" borderId="11" xfId="48" applyNumberFormat="1" applyFont="1" applyBorder="1" applyAlignment="1" quotePrefix="1">
      <alignment horizontal="right"/>
      <protection/>
    </xf>
    <xf numFmtId="180" fontId="12" fillId="0" borderId="11" xfId="0" applyNumberFormat="1" applyFont="1" applyBorder="1" applyAlignment="1">
      <alignment horizontal="right"/>
    </xf>
    <xf numFmtId="0" fontId="12" fillId="0" borderId="0" xfId="0" applyFont="1" applyAlignment="1">
      <alignment wrapText="1"/>
    </xf>
    <xf numFmtId="0" fontId="12" fillId="36" borderId="0" xfId="0" applyFont="1" applyFill="1" applyBorder="1" applyAlignment="1">
      <alignment horizontal="center"/>
    </xf>
    <xf numFmtId="197" fontId="12" fillId="33" borderId="0" xfId="0" applyNumberFormat="1" applyFont="1" applyFill="1" applyBorder="1" applyAlignment="1">
      <alignment/>
    </xf>
    <xf numFmtId="0" fontId="12" fillId="36" borderId="0" xfId="0" applyFont="1" applyFill="1" applyBorder="1" applyAlignment="1">
      <alignment/>
    </xf>
    <xf numFmtId="180" fontId="12" fillId="36" borderId="0" xfId="0" applyNumberFormat="1" applyFont="1" applyFill="1" applyBorder="1" applyAlignment="1">
      <alignment/>
    </xf>
    <xf numFmtId="180" fontId="12" fillId="36" borderId="0" xfId="0" applyNumberFormat="1" applyFont="1" applyFill="1" applyBorder="1" applyAlignment="1">
      <alignment horizontal="center"/>
    </xf>
    <xf numFmtId="197" fontId="12" fillId="33" borderId="0" xfId="0" applyNumberFormat="1" applyFont="1" applyFill="1" applyBorder="1" applyAlignment="1">
      <alignment horizontal="right"/>
    </xf>
    <xf numFmtId="180" fontId="12" fillId="36" borderId="0" xfId="0" applyNumberFormat="1" applyFont="1" applyFill="1" applyBorder="1" applyAlignment="1">
      <alignment horizontal="right"/>
    </xf>
    <xf numFmtId="180" fontId="48" fillId="36" borderId="0" xfId="0" applyNumberFormat="1" applyFont="1" applyFill="1" applyBorder="1" applyAlignment="1">
      <alignment horizontal="center"/>
    </xf>
    <xf numFmtId="194" fontId="12" fillId="36" borderId="0" xfId="0" applyNumberFormat="1" applyFont="1" applyFill="1" applyBorder="1" applyAlignment="1">
      <alignment horizontal="center"/>
    </xf>
    <xf numFmtId="197" fontId="12" fillId="33" borderId="0" xfId="0" applyNumberFormat="1" applyFont="1" applyFill="1" applyAlignment="1">
      <alignment/>
    </xf>
    <xf numFmtId="0" fontId="5" fillId="35" borderId="0" xfId="0" applyFont="1" applyFill="1" applyBorder="1" applyAlignment="1">
      <alignment horizontal="left"/>
    </xf>
    <xf numFmtId="49" fontId="12" fillId="35" borderId="0" xfId="0" applyNumberFormat="1" applyFont="1" applyFill="1" applyBorder="1" applyAlignment="1">
      <alignment horizontal="right"/>
    </xf>
    <xf numFmtId="0" fontId="5" fillId="35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197" fontId="12" fillId="33" borderId="11" xfId="0" applyNumberFormat="1" applyFont="1" applyFill="1" applyBorder="1" applyAlignment="1">
      <alignment/>
    </xf>
    <xf numFmtId="0" fontId="0" fillId="0" borderId="11" xfId="0" applyBorder="1" applyAlignment="1">
      <alignment horizontal="center" vertical="center" wrapText="1" readingOrder="1"/>
    </xf>
    <xf numFmtId="0" fontId="7" fillId="0" borderId="10" xfId="48" applyFont="1" applyBorder="1" applyAlignment="1">
      <alignment horizontal="center" vertical="center" wrapText="1" readingOrder="1"/>
      <protection/>
    </xf>
    <xf numFmtId="0" fontId="12" fillId="33" borderId="10" xfId="0" applyFont="1" applyFill="1" applyBorder="1" applyAlignment="1">
      <alignment horizontal="center" vertical="center" wrapText="1" readingOrder="1"/>
    </xf>
    <xf numFmtId="0" fontId="5" fillId="35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2" fillId="33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2" fillId="33" borderId="12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12" fillId="35" borderId="10" xfId="0" applyFont="1" applyFill="1" applyBorder="1" applyAlignment="1">
      <alignment horizontal="center" vertical="center" wrapText="1" readingOrder="1"/>
    </xf>
    <xf numFmtId="0" fontId="5" fillId="35" borderId="0" xfId="0" applyFont="1" applyFill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5" fillId="33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10" xfId="48" applyFont="1" applyBorder="1" applyAlignment="1">
      <alignment horizontal="center" vertical="center" wrapText="1"/>
      <protection/>
    </xf>
    <xf numFmtId="0" fontId="7" fillId="0" borderId="12" xfId="48" applyFont="1" applyBorder="1" applyAlignment="1">
      <alignment horizontal="center" vertical="center" readingOrder="1"/>
      <protection/>
    </xf>
    <xf numFmtId="0" fontId="0" fillId="0" borderId="0" xfId="0" applyAlignment="1">
      <alignment wrapText="1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rmal 2" xfId="48"/>
    <cellStyle name="Notas" xfId="49"/>
    <cellStyle name="Salida" xfId="50"/>
    <cellStyle name="Texto de advertencia" xfId="51"/>
    <cellStyle name="Texto explicativo" xfId="52"/>
    <cellStyle name="Título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2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56.140625" style="39" customWidth="1"/>
    <col min="2" max="2" width="16.7109375" style="39" customWidth="1"/>
    <col min="3" max="16384" width="11.421875" style="39" customWidth="1"/>
  </cols>
  <sheetData>
    <row r="1" spans="1:6" s="54" customFormat="1" ht="12.75">
      <c r="A1" s="143" t="s">
        <v>124</v>
      </c>
      <c r="B1" s="10"/>
      <c r="C1" s="10"/>
      <c r="D1" s="10"/>
      <c r="E1" s="10"/>
      <c r="F1" s="10"/>
    </row>
    <row r="2" spans="1:5" ht="11.25">
      <c r="A2" s="40"/>
      <c r="B2" s="34"/>
      <c r="C2" s="37"/>
      <c r="D2" s="37"/>
      <c r="E2" s="37"/>
    </row>
    <row r="3" spans="1:5" ht="11.25" customHeight="1">
      <c r="A3" s="159" t="s">
        <v>135</v>
      </c>
      <c r="B3" s="166" t="s">
        <v>80</v>
      </c>
      <c r="C3" s="150" t="s">
        <v>81</v>
      </c>
      <c r="D3" s="169" t="s">
        <v>84</v>
      </c>
      <c r="E3" s="170"/>
    </row>
    <row r="4" spans="1:5" ht="11.25" customHeight="1">
      <c r="A4" s="160"/>
      <c r="B4" s="163"/>
      <c r="C4" s="149"/>
      <c r="D4" s="167" t="s">
        <v>82</v>
      </c>
      <c r="E4" s="167" t="s">
        <v>83</v>
      </c>
    </row>
    <row r="5" spans="1:5" ht="11.25">
      <c r="A5" s="17"/>
      <c r="B5" s="18"/>
      <c r="C5" s="37"/>
      <c r="D5" s="37"/>
      <c r="E5" s="37"/>
    </row>
    <row r="6" spans="1:5" ht="11.25">
      <c r="A6" s="19" t="s">
        <v>40</v>
      </c>
      <c r="B6" s="94">
        <v>27308824</v>
      </c>
      <c r="C6" s="116"/>
      <c r="D6" s="116"/>
      <c r="E6" s="122"/>
    </row>
    <row r="7" spans="1:5" ht="11.25">
      <c r="A7" s="21" t="s">
        <v>1</v>
      </c>
      <c r="B7" s="102"/>
      <c r="C7" s="116"/>
      <c r="D7" s="116"/>
      <c r="E7" s="116"/>
    </row>
    <row r="8" spans="1:5" ht="11.25">
      <c r="A8" s="19" t="s">
        <v>2</v>
      </c>
      <c r="B8" s="99"/>
      <c r="C8" s="116"/>
      <c r="D8" s="116"/>
      <c r="E8" s="116"/>
    </row>
    <row r="9" spans="1:5" ht="11.25">
      <c r="A9" s="17" t="s">
        <v>3</v>
      </c>
      <c r="B9" s="99">
        <v>9.3</v>
      </c>
      <c r="C9" s="123">
        <v>1.4193</v>
      </c>
      <c r="D9" s="105">
        <v>9.039972</v>
      </c>
      <c r="E9" s="105">
        <v>9.472154000000002</v>
      </c>
    </row>
    <row r="10" spans="1:5" ht="11.25">
      <c r="A10" s="17" t="s">
        <v>4</v>
      </c>
      <c r="B10" s="99">
        <v>14.8</v>
      </c>
      <c r="C10" s="123">
        <v>1.1146</v>
      </c>
      <c r="D10" s="105">
        <v>14.516153000000001</v>
      </c>
      <c r="E10" s="105">
        <v>15.058339000000002</v>
      </c>
    </row>
    <row r="11" spans="1:5" ht="11.25">
      <c r="A11" s="17" t="s">
        <v>5</v>
      </c>
      <c r="B11" s="99">
        <v>75.9</v>
      </c>
      <c r="C11" s="123">
        <v>0.2541</v>
      </c>
      <c r="D11" s="105">
        <v>75.639182</v>
      </c>
      <c r="E11" s="105">
        <v>76.27420000000001</v>
      </c>
    </row>
    <row r="12" spans="1:5" ht="11.25">
      <c r="A12" s="19" t="s">
        <v>92</v>
      </c>
      <c r="B12" s="99"/>
      <c r="C12" s="123"/>
      <c r="D12" s="105"/>
      <c r="E12" s="105"/>
    </row>
    <row r="13" spans="1:5" ht="11.25">
      <c r="A13" s="17" t="s">
        <v>6</v>
      </c>
      <c r="B13" s="99">
        <v>94.7</v>
      </c>
      <c r="C13" s="123"/>
      <c r="D13" s="105"/>
      <c r="E13" s="105"/>
    </row>
    <row r="14" spans="1:5" ht="11.25">
      <c r="A14" s="17" t="s">
        <v>7</v>
      </c>
      <c r="B14" s="99">
        <v>73.4</v>
      </c>
      <c r="C14" s="123">
        <v>0.2673</v>
      </c>
      <c r="D14" s="105">
        <v>72.967422</v>
      </c>
      <c r="E14" s="105">
        <v>73.611823</v>
      </c>
    </row>
    <row r="15" spans="1:5" ht="11.25">
      <c r="A15" s="17" t="s">
        <v>8</v>
      </c>
      <c r="B15" s="99">
        <v>21.3</v>
      </c>
      <c r="C15" s="123">
        <v>0.8582</v>
      </c>
      <c r="D15" s="105">
        <v>21.02375</v>
      </c>
      <c r="E15" s="105">
        <v>21.623354</v>
      </c>
    </row>
    <row r="16" spans="1:5" ht="11.25">
      <c r="A16" s="42" t="s">
        <v>9</v>
      </c>
      <c r="B16" s="99">
        <v>5.327938245962708</v>
      </c>
      <c r="C16" s="123">
        <v>1.8712</v>
      </c>
      <c r="D16" s="105">
        <v>5.160675</v>
      </c>
      <c r="E16" s="105">
        <v>5.488439</v>
      </c>
    </row>
    <row r="17" spans="1:5" ht="11.25">
      <c r="A17" s="19" t="s">
        <v>93</v>
      </c>
      <c r="B17" s="99"/>
      <c r="C17" s="123"/>
      <c r="D17" s="105"/>
      <c r="E17" s="105"/>
    </row>
    <row r="18" spans="1:5" ht="11.25">
      <c r="A18" s="17" t="s">
        <v>10</v>
      </c>
      <c r="B18" s="99">
        <f>100-B19</f>
        <v>83.79323668417578</v>
      </c>
      <c r="C18" s="123">
        <v>0.2092</v>
      </c>
      <c r="D18" s="105">
        <v>83.451869</v>
      </c>
      <c r="E18" s="105">
        <v>84.028261</v>
      </c>
    </row>
    <row r="19" spans="1:5" ht="11.25">
      <c r="A19" s="17" t="s">
        <v>11</v>
      </c>
      <c r="B19" s="99">
        <v>16.206763315824215</v>
      </c>
      <c r="C19" s="123">
        <v>1.0803</v>
      </c>
      <c r="D19" s="105">
        <v>15.908908</v>
      </c>
      <c r="E19" s="105">
        <v>16.484497</v>
      </c>
    </row>
    <row r="20" spans="1:5" ht="11.25">
      <c r="A20" s="25" t="s">
        <v>94</v>
      </c>
      <c r="B20" s="99"/>
      <c r="C20" s="123"/>
      <c r="D20" s="105"/>
      <c r="E20" s="105"/>
    </row>
    <row r="21" spans="1:5" ht="11.25">
      <c r="A21" s="17" t="s">
        <v>12</v>
      </c>
      <c r="B21" s="99">
        <f>100-B22</f>
        <v>91.8</v>
      </c>
      <c r="C21" s="123">
        <v>0.149</v>
      </c>
      <c r="D21" s="105">
        <v>91.57303399999999</v>
      </c>
      <c r="E21" s="105">
        <v>92.02307400000001</v>
      </c>
    </row>
    <row r="22" spans="1:5" ht="11.25">
      <c r="A22" s="17" t="s">
        <v>13</v>
      </c>
      <c r="B22" s="99">
        <v>8.2</v>
      </c>
      <c r="C22" s="123">
        <v>1.6679</v>
      </c>
      <c r="D22" s="105">
        <v>7.976926</v>
      </c>
      <c r="E22" s="105">
        <v>8.426966</v>
      </c>
    </row>
    <row r="23" spans="1:5" ht="11.25">
      <c r="A23" s="19" t="s">
        <v>14</v>
      </c>
      <c r="B23" s="98"/>
      <c r="C23" s="123"/>
      <c r="D23" s="105"/>
      <c r="E23" s="105"/>
    </row>
    <row r="24" spans="1:5" ht="11.25">
      <c r="A24" s="17" t="s">
        <v>15</v>
      </c>
      <c r="B24" s="99">
        <f>100-B28</f>
        <v>96.35602763414492</v>
      </c>
      <c r="C24" s="123">
        <v>0.09340000000000001</v>
      </c>
      <c r="D24" s="105">
        <v>96.207935</v>
      </c>
      <c r="E24" s="105">
        <v>96.60412000000001</v>
      </c>
    </row>
    <row r="25" spans="1:5" ht="11.25">
      <c r="A25" s="17" t="s">
        <v>16</v>
      </c>
      <c r="B25" s="99">
        <v>85.6</v>
      </c>
      <c r="C25" s="55">
        <v>0.22</v>
      </c>
      <c r="D25" s="55">
        <v>85.124</v>
      </c>
      <c r="E25" s="55">
        <v>86.854986</v>
      </c>
    </row>
    <row r="26" spans="1:5" ht="11.25">
      <c r="A26" s="17" t="s">
        <v>17</v>
      </c>
      <c r="B26" s="99">
        <v>10.6</v>
      </c>
      <c r="C26" s="55">
        <v>1.72</v>
      </c>
      <c r="D26" s="55">
        <v>10.079994</v>
      </c>
      <c r="E26" s="55">
        <v>10.828</v>
      </c>
    </row>
    <row r="27" spans="1:5" ht="11.25">
      <c r="A27" s="17" t="s">
        <v>18</v>
      </c>
      <c r="B27" s="113" t="s">
        <v>89</v>
      </c>
      <c r="C27" s="55"/>
      <c r="D27" s="55"/>
      <c r="E27" s="55"/>
    </row>
    <row r="28" spans="1:5" ht="11.25">
      <c r="A28" s="17" t="s">
        <v>19</v>
      </c>
      <c r="B28" s="99">
        <v>3.64397236585508</v>
      </c>
      <c r="C28" s="55">
        <v>2.7</v>
      </c>
      <c r="D28" s="55">
        <v>2.7</v>
      </c>
      <c r="E28" s="55">
        <v>2.9</v>
      </c>
    </row>
    <row r="29" spans="1:5" ht="11.25">
      <c r="A29" s="17"/>
      <c r="B29" s="99"/>
      <c r="C29" s="123"/>
      <c r="D29" s="105"/>
      <c r="E29" s="105"/>
    </row>
    <row r="30" spans="1:5" ht="11.25">
      <c r="A30" s="21" t="s">
        <v>95</v>
      </c>
      <c r="B30" s="97"/>
      <c r="C30" s="123"/>
      <c r="D30" s="105"/>
      <c r="E30" s="105"/>
    </row>
    <row r="31" spans="1:5" ht="11.25">
      <c r="A31" s="25" t="s">
        <v>21</v>
      </c>
      <c r="B31" s="98"/>
      <c r="C31" s="123"/>
      <c r="D31" s="105"/>
      <c r="E31" s="105"/>
    </row>
    <row r="32" spans="1:5" ht="11.25">
      <c r="A32" s="17" t="s">
        <v>22</v>
      </c>
      <c r="B32" s="99">
        <v>87.8</v>
      </c>
      <c r="C32" s="123">
        <v>0.20079999999999998</v>
      </c>
      <c r="D32" s="105">
        <v>87.480596</v>
      </c>
      <c r="E32" s="105">
        <v>88.06043799999999</v>
      </c>
    </row>
    <row r="33" spans="1:5" ht="11.25">
      <c r="A33" s="17" t="s">
        <v>23</v>
      </c>
      <c r="B33" s="99">
        <v>12.2</v>
      </c>
      <c r="C33" s="123">
        <v>1.4413</v>
      </c>
      <c r="D33" s="105">
        <v>11.939561999999999</v>
      </c>
      <c r="E33" s="105">
        <v>12.519404000000002</v>
      </c>
    </row>
    <row r="34" spans="1:5" ht="11.25">
      <c r="A34" s="19" t="s">
        <v>24</v>
      </c>
      <c r="B34" s="99"/>
      <c r="C34" s="123"/>
      <c r="D34" s="105"/>
      <c r="E34" s="105"/>
    </row>
    <row r="35" spans="1:5" ht="11.25">
      <c r="A35" s="17" t="s">
        <v>22</v>
      </c>
      <c r="B35" s="99">
        <v>65.3</v>
      </c>
      <c r="C35" s="123">
        <v>0.3266</v>
      </c>
      <c r="D35" s="105">
        <v>64.982133</v>
      </c>
      <c r="E35" s="105">
        <v>65.684182</v>
      </c>
    </row>
    <row r="36" spans="1:5" ht="11.25">
      <c r="A36" s="17" t="s">
        <v>23</v>
      </c>
      <c r="B36" s="99">
        <v>34.7</v>
      </c>
      <c r="C36" s="123">
        <v>0.6156</v>
      </c>
      <c r="D36" s="105">
        <v>34.315818</v>
      </c>
      <c r="E36" s="105">
        <v>35.017867</v>
      </c>
    </row>
    <row r="37" spans="1:5" ht="11.25">
      <c r="A37" s="19" t="s">
        <v>25</v>
      </c>
      <c r="B37" s="98"/>
      <c r="C37" s="123"/>
      <c r="D37" s="105"/>
      <c r="E37" s="105"/>
    </row>
    <row r="38" spans="1:5" ht="11.25">
      <c r="A38" s="17" t="s">
        <v>22</v>
      </c>
      <c r="B38" s="99">
        <v>65.7</v>
      </c>
      <c r="C38" s="123">
        <v>0.3071</v>
      </c>
      <c r="D38" s="105">
        <v>65.361365</v>
      </c>
      <c r="E38" s="105">
        <v>66.024988</v>
      </c>
    </row>
    <row r="39" spans="1:5" ht="11.25">
      <c r="A39" s="17" t="s">
        <v>23</v>
      </c>
      <c r="B39" s="99">
        <v>34.3</v>
      </c>
      <c r="C39" s="123">
        <v>0.588</v>
      </c>
      <c r="D39" s="105">
        <v>33.975012</v>
      </c>
      <c r="E39" s="105">
        <v>34.638635</v>
      </c>
    </row>
    <row r="40" spans="1:5" ht="11.25">
      <c r="A40" s="17"/>
      <c r="B40" s="99"/>
      <c r="C40" s="123"/>
      <c r="D40" s="105"/>
      <c r="E40" s="105"/>
    </row>
    <row r="41" spans="1:5" ht="11.25">
      <c r="A41" s="19" t="s">
        <v>26</v>
      </c>
      <c r="B41" s="99">
        <v>50.56396507410093</v>
      </c>
      <c r="C41" s="123">
        <v>0.42100000000000004</v>
      </c>
      <c r="D41" s="105">
        <v>50.186944</v>
      </c>
      <c r="E41" s="105">
        <v>50.886826</v>
      </c>
    </row>
    <row r="42" spans="1:5" ht="11.25">
      <c r="A42" s="19"/>
      <c r="B42" s="99"/>
      <c r="C42" s="123"/>
      <c r="D42" s="105"/>
      <c r="E42" s="105"/>
    </row>
    <row r="43" spans="1:5" ht="11.25">
      <c r="A43" s="21" t="s">
        <v>27</v>
      </c>
      <c r="B43" s="102"/>
      <c r="C43" s="123"/>
      <c r="D43" s="105"/>
      <c r="E43" s="105"/>
    </row>
    <row r="44" spans="1:5" ht="11.25">
      <c r="A44" s="19" t="s">
        <v>96</v>
      </c>
      <c r="B44" s="99">
        <v>8.471075136739685</v>
      </c>
      <c r="C44" s="123">
        <v>1.4882</v>
      </c>
      <c r="D44" s="105">
        <v>8.263713000000001</v>
      </c>
      <c r="E44" s="105">
        <v>8.678437</v>
      </c>
    </row>
    <row r="45" spans="1:5" ht="11.25">
      <c r="A45" s="19" t="s">
        <v>97</v>
      </c>
      <c r="B45" s="99">
        <v>13.42048636001316</v>
      </c>
      <c r="C45" s="123">
        <v>1.2633999999999999</v>
      </c>
      <c r="D45" s="105">
        <v>13.141586</v>
      </c>
      <c r="E45" s="105">
        <v>13.699385999999999</v>
      </c>
    </row>
    <row r="46" spans="1:5" ht="10.5" customHeight="1">
      <c r="A46" s="28"/>
      <c r="B46" s="99"/>
      <c r="C46" s="123"/>
      <c r="D46" s="105"/>
      <c r="E46" s="105"/>
    </row>
    <row r="47" spans="1:5" ht="11.25">
      <c r="A47" s="21" t="s">
        <v>98</v>
      </c>
      <c r="B47" s="102"/>
      <c r="C47" s="123"/>
      <c r="D47" s="105"/>
      <c r="E47" s="105"/>
    </row>
    <row r="48" spans="1:5" ht="11.25">
      <c r="A48" s="29" t="s">
        <v>28</v>
      </c>
      <c r="B48" s="99">
        <v>69</v>
      </c>
      <c r="C48" s="105">
        <v>0.2968</v>
      </c>
      <c r="D48" s="123">
        <v>68.599062</v>
      </c>
      <c r="E48" s="105">
        <v>69.272059</v>
      </c>
    </row>
    <row r="49" spans="1:5" ht="11.25">
      <c r="A49" s="29" t="s">
        <v>29</v>
      </c>
      <c r="B49" s="99">
        <v>5.4</v>
      </c>
      <c r="C49" s="123">
        <v>2.0008999999999997</v>
      </c>
      <c r="D49" s="105">
        <v>5.261057</v>
      </c>
      <c r="E49" s="105">
        <v>5.619155</v>
      </c>
    </row>
    <row r="50" spans="1:5" ht="11.25">
      <c r="A50" s="29" t="s">
        <v>30</v>
      </c>
      <c r="B50" s="99">
        <v>14.5</v>
      </c>
      <c r="C50" s="123">
        <v>1.0409</v>
      </c>
      <c r="D50" s="105">
        <v>14.256642</v>
      </c>
      <c r="E50" s="105">
        <v>14.753343999999998</v>
      </c>
    </row>
    <row r="51" spans="1:5" ht="11.25">
      <c r="A51" s="29" t="s">
        <v>31</v>
      </c>
      <c r="B51" s="99">
        <v>9.4</v>
      </c>
      <c r="C51" s="123">
        <v>1.3647</v>
      </c>
      <c r="D51" s="105">
        <v>9.213565</v>
      </c>
      <c r="E51" s="105">
        <v>9.636702</v>
      </c>
    </row>
    <row r="52" spans="1:5" ht="11.25">
      <c r="A52" s="29" t="s">
        <v>32</v>
      </c>
      <c r="B52" s="99">
        <v>1.6</v>
      </c>
      <c r="C52" s="123">
        <v>3.2779999999999996</v>
      </c>
      <c r="D52" s="105">
        <v>1.542824</v>
      </c>
      <c r="E52" s="105">
        <v>1.718678</v>
      </c>
    </row>
    <row r="53" spans="1:5" ht="11.25">
      <c r="A53" s="21" t="s">
        <v>41</v>
      </c>
      <c r="B53" s="102"/>
      <c r="C53" s="123"/>
      <c r="D53" s="105"/>
      <c r="E53" s="105"/>
    </row>
    <row r="54" spans="1:5" ht="11.25">
      <c r="A54" s="43" t="s">
        <v>42</v>
      </c>
      <c r="B54" s="99"/>
      <c r="C54" s="123"/>
      <c r="D54" s="105"/>
      <c r="E54" s="105"/>
    </row>
    <row r="55" spans="1:5" ht="11.25">
      <c r="A55" s="44" t="s">
        <v>43</v>
      </c>
      <c r="B55" s="99">
        <v>68.8</v>
      </c>
      <c r="C55" s="124">
        <v>0.2959</v>
      </c>
      <c r="D55" s="124">
        <v>68.53599799999999</v>
      </c>
      <c r="E55" s="124">
        <v>69.206316</v>
      </c>
    </row>
    <row r="56" spans="1:5" ht="11.25">
      <c r="A56" s="44" t="s">
        <v>44</v>
      </c>
      <c r="B56" s="99">
        <v>31</v>
      </c>
      <c r="C56" s="124">
        <v>0.6570999999999999</v>
      </c>
      <c r="D56" s="124">
        <v>30.617282000000003</v>
      </c>
      <c r="E56" s="124">
        <v>31.286365</v>
      </c>
    </row>
    <row r="57" spans="1:5" ht="11.25">
      <c r="A57" s="44" t="s">
        <v>45</v>
      </c>
      <c r="B57" s="99">
        <v>0.2</v>
      </c>
      <c r="C57" s="124">
        <v>12.0421</v>
      </c>
      <c r="D57" s="124">
        <v>0.141956</v>
      </c>
      <c r="E57" s="124">
        <v>0.21208300000000002</v>
      </c>
    </row>
    <row r="58" spans="1:5" ht="11.25">
      <c r="A58" s="45" t="s">
        <v>46</v>
      </c>
      <c r="B58" s="99"/>
      <c r="C58" s="123"/>
      <c r="D58" s="105"/>
      <c r="E58" s="105"/>
    </row>
    <row r="59" spans="1:5" ht="11.25">
      <c r="A59" s="24" t="s">
        <v>47</v>
      </c>
      <c r="B59" s="99"/>
      <c r="C59" s="123"/>
      <c r="D59" s="105"/>
      <c r="E59" s="105"/>
    </row>
    <row r="60" spans="1:5" ht="11.25">
      <c r="A60" s="44" t="s">
        <v>48</v>
      </c>
      <c r="B60" s="99">
        <v>70.2</v>
      </c>
      <c r="C60" s="124">
        <v>0.39649999999999996</v>
      </c>
      <c r="D60" s="124">
        <v>69.69216700000001</v>
      </c>
      <c r="E60" s="124">
        <v>70.607232</v>
      </c>
    </row>
    <row r="61" spans="1:5" ht="11.25">
      <c r="A61" s="44" t="s">
        <v>49</v>
      </c>
      <c r="B61" s="99">
        <v>29.6</v>
      </c>
      <c r="C61" s="124">
        <v>0.9358</v>
      </c>
      <c r="D61" s="124">
        <v>29.205063</v>
      </c>
      <c r="E61" s="124">
        <v>30.118228000000002</v>
      </c>
    </row>
    <row r="62" spans="1:5" ht="11.25">
      <c r="A62" s="24" t="s">
        <v>50</v>
      </c>
      <c r="B62" s="99">
        <v>0.2</v>
      </c>
      <c r="C62" s="124">
        <v>15.8252</v>
      </c>
      <c r="D62" s="124">
        <v>0.139547</v>
      </c>
      <c r="E62" s="124">
        <v>0.237763</v>
      </c>
    </row>
    <row r="63" spans="1:5" ht="11.25">
      <c r="A63" s="24" t="s">
        <v>51</v>
      </c>
      <c r="B63" s="99"/>
      <c r="C63" s="124"/>
      <c r="D63" s="124"/>
      <c r="E63" s="124"/>
    </row>
    <row r="64" spans="1:5" ht="11.25">
      <c r="A64" s="44" t="s">
        <v>48</v>
      </c>
      <c r="B64" s="99">
        <v>67.4</v>
      </c>
      <c r="C64" s="124">
        <v>0.44279999999999997</v>
      </c>
      <c r="D64" s="124">
        <v>66.986098</v>
      </c>
      <c r="E64" s="124">
        <v>67.968991</v>
      </c>
    </row>
    <row r="65" spans="1:5" ht="11.25">
      <c r="A65" s="44" t="s">
        <v>49</v>
      </c>
      <c r="B65" s="99">
        <v>32.4</v>
      </c>
      <c r="C65" s="124">
        <v>0.9218000000000001</v>
      </c>
      <c r="D65" s="124">
        <v>31.867465</v>
      </c>
      <c r="E65" s="124">
        <v>32.848772</v>
      </c>
    </row>
    <row r="66" spans="1:5" ht="11.25">
      <c r="A66" s="24" t="s">
        <v>50</v>
      </c>
      <c r="B66" s="99">
        <v>0.2</v>
      </c>
      <c r="C66" s="124">
        <v>18.5169</v>
      </c>
      <c r="D66" s="124">
        <v>0.11428300000000001</v>
      </c>
      <c r="E66" s="124">
        <v>0.21439100000000003</v>
      </c>
    </row>
    <row r="67" spans="1:5" ht="11.25">
      <c r="A67" s="45" t="s">
        <v>52</v>
      </c>
      <c r="B67" s="99"/>
      <c r="C67" s="124"/>
      <c r="D67" s="124"/>
      <c r="E67" s="124"/>
    </row>
    <row r="68" spans="1:5" ht="11.25">
      <c r="A68" s="24" t="s">
        <v>53</v>
      </c>
      <c r="B68" s="99"/>
      <c r="C68" s="124"/>
      <c r="D68" s="124"/>
      <c r="E68" s="124"/>
    </row>
    <row r="69" spans="1:5" ht="11.25">
      <c r="A69" s="44" t="s">
        <v>48</v>
      </c>
      <c r="B69" s="99">
        <v>59.2</v>
      </c>
      <c r="C69" s="124">
        <v>0.6995</v>
      </c>
      <c r="D69" s="124">
        <v>58.386488</v>
      </c>
      <c r="E69" s="124">
        <v>59.745630000000006</v>
      </c>
    </row>
    <row r="70" spans="1:5" ht="11.25">
      <c r="A70" s="44" t="s">
        <v>49</v>
      </c>
      <c r="B70" s="99">
        <v>40.6</v>
      </c>
      <c r="C70" s="124">
        <v>1.0143</v>
      </c>
      <c r="D70" s="124">
        <v>40.012899000000004</v>
      </c>
      <c r="E70" s="124">
        <v>41.370725</v>
      </c>
    </row>
    <row r="71" spans="1:5" ht="11.25">
      <c r="A71" s="24" t="s">
        <v>50</v>
      </c>
      <c r="B71" s="99">
        <v>0.2</v>
      </c>
      <c r="C71" s="124">
        <v>20.7725</v>
      </c>
      <c r="D71" s="124">
        <v>0.15939599999999998</v>
      </c>
      <c r="E71" s="124">
        <v>0.324861</v>
      </c>
    </row>
    <row r="72" spans="1:5" ht="11.25">
      <c r="A72" s="24" t="s">
        <v>54</v>
      </c>
      <c r="B72" s="99"/>
      <c r="C72" s="124"/>
      <c r="D72" s="124"/>
      <c r="E72" s="124"/>
    </row>
    <row r="73" spans="1:5" ht="11.25">
      <c r="A73" s="44" t="s">
        <v>48</v>
      </c>
      <c r="B73" s="99">
        <v>67</v>
      </c>
      <c r="C73" s="124">
        <v>0.39680000000000004</v>
      </c>
      <c r="D73" s="124">
        <v>66.708358</v>
      </c>
      <c r="E73" s="124">
        <v>67.58482099999999</v>
      </c>
    </row>
    <row r="74" spans="1:5" ht="11.25">
      <c r="A74" s="44" t="s">
        <v>49</v>
      </c>
      <c r="B74" s="99">
        <v>32.8</v>
      </c>
      <c r="C74" s="124">
        <v>0.814</v>
      </c>
      <c r="D74" s="124">
        <v>32.243932</v>
      </c>
      <c r="E74" s="124">
        <v>33.119124</v>
      </c>
    </row>
    <row r="75" spans="1:5" ht="11.25">
      <c r="A75" s="24" t="s">
        <v>50</v>
      </c>
      <c r="B75" s="99">
        <v>0.2</v>
      </c>
      <c r="C75" s="124">
        <v>15.1687</v>
      </c>
      <c r="D75" s="124">
        <v>0.128997</v>
      </c>
      <c r="E75" s="124">
        <v>0.214769</v>
      </c>
    </row>
    <row r="76" spans="1:5" ht="11.25">
      <c r="A76" s="24" t="s">
        <v>55</v>
      </c>
      <c r="B76" s="99"/>
      <c r="C76" s="124"/>
      <c r="D76" s="124"/>
      <c r="E76" s="124"/>
    </row>
    <row r="77" spans="1:5" ht="11.25">
      <c r="A77" s="44" t="s">
        <v>48</v>
      </c>
      <c r="B77" s="99">
        <v>97.6</v>
      </c>
      <c r="C77" s="124">
        <v>0.21380000000000002</v>
      </c>
      <c r="D77" s="124">
        <v>97.04658699999999</v>
      </c>
      <c r="E77" s="124">
        <v>97.731707</v>
      </c>
    </row>
    <row r="78" spans="1:5" ht="11.25">
      <c r="A78" s="44" t="s">
        <v>49</v>
      </c>
      <c r="B78" s="99">
        <v>2.3</v>
      </c>
      <c r="C78" s="124">
        <v>8.0452</v>
      </c>
      <c r="D78" s="124">
        <v>2.208641</v>
      </c>
      <c r="E78" s="124">
        <v>2.882388</v>
      </c>
    </row>
    <row r="79" spans="1:5" ht="11.25">
      <c r="A79" s="24" t="s">
        <v>50</v>
      </c>
      <c r="B79" s="99">
        <v>0.1</v>
      </c>
      <c r="C79" s="124">
        <v>59.486000000000004</v>
      </c>
      <c r="D79" s="124">
        <v>0.001403</v>
      </c>
      <c r="E79" s="124">
        <v>0.129273</v>
      </c>
    </row>
    <row r="80" spans="1:5" ht="11.25">
      <c r="A80" s="24"/>
      <c r="B80" s="99"/>
      <c r="C80" s="124"/>
      <c r="D80" s="124"/>
      <c r="E80" s="124"/>
    </row>
    <row r="81" spans="1:5" ht="11.25">
      <c r="A81" s="21" t="s">
        <v>136</v>
      </c>
      <c r="B81" s="102"/>
      <c r="C81" s="105"/>
      <c r="D81" s="105"/>
      <c r="E81" s="105"/>
    </row>
    <row r="82" spans="1:5" ht="11.25">
      <c r="A82" s="25" t="s">
        <v>108</v>
      </c>
      <c r="B82" s="98"/>
      <c r="C82" s="105"/>
      <c r="D82" s="105"/>
      <c r="E82" s="105"/>
    </row>
    <row r="83" spans="1:5" ht="11.25">
      <c r="A83" s="29" t="s">
        <v>35</v>
      </c>
      <c r="B83" s="99">
        <v>7</v>
      </c>
      <c r="C83" s="124">
        <v>3.7161</v>
      </c>
      <c r="D83" s="124">
        <v>6.61432</v>
      </c>
      <c r="E83" s="124">
        <v>7.475595</v>
      </c>
    </row>
    <row r="84" spans="1:5" ht="11.25">
      <c r="A84" s="29" t="s">
        <v>36</v>
      </c>
      <c r="B84" s="99">
        <v>45.8</v>
      </c>
      <c r="C84" s="124">
        <v>1.0361</v>
      </c>
      <c r="D84" s="124">
        <v>44.936596</v>
      </c>
      <c r="E84" s="124">
        <v>46.494828999999996</v>
      </c>
    </row>
    <row r="85" spans="1:5" ht="11.25">
      <c r="A85" s="29" t="s">
        <v>37</v>
      </c>
      <c r="B85" s="99">
        <v>31.4</v>
      </c>
      <c r="C85" s="124">
        <v>1.3694</v>
      </c>
      <c r="D85" s="124">
        <v>30.695808000000003</v>
      </c>
      <c r="E85" s="124">
        <v>32.110507999999996</v>
      </c>
    </row>
    <row r="86" spans="1:5" ht="11.25">
      <c r="A86" s="29" t="s">
        <v>38</v>
      </c>
      <c r="B86" s="99">
        <v>9</v>
      </c>
      <c r="C86" s="124">
        <v>2.8019</v>
      </c>
      <c r="D86" s="124">
        <v>8.627215000000001</v>
      </c>
      <c r="E86" s="124">
        <v>9.460868</v>
      </c>
    </row>
    <row r="87" spans="1:5" ht="11.25">
      <c r="A87" s="29" t="s">
        <v>39</v>
      </c>
      <c r="B87" s="99">
        <v>6.8</v>
      </c>
      <c r="C87" s="124">
        <v>3.4209000000000005</v>
      </c>
      <c r="D87" s="124">
        <v>6.409935</v>
      </c>
      <c r="E87" s="124">
        <v>7.174326000000001</v>
      </c>
    </row>
    <row r="88" spans="1:5" ht="22.5">
      <c r="A88" s="19" t="s">
        <v>56</v>
      </c>
      <c r="B88" s="98"/>
      <c r="C88" s="124"/>
      <c r="D88" s="124"/>
      <c r="E88" s="124"/>
    </row>
    <row r="89" spans="1:5" ht="11.25">
      <c r="A89" s="24" t="s">
        <v>57</v>
      </c>
      <c r="B89" s="99">
        <v>94.4</v>
      </c>
      <c r="C89" s="124">
        <v>0.2552</v>
      </c>
      <c r="D89" s="124">
        <v>93.93749</v>
      </c>
      <c r="E89" s="124">
        <v>94.729618</v>
      </c>
    </row>
    <row r="90" spans="1:5" ht="11.25">
      <c r="A90" s="24" t="s">
        <v>58</v>
      </c>
      <c r="B90" s="99">
        <v>5.6</v>
      </c>
      <c r="C90" s="124">
        <v>4.2492</v>
      </c>
      <c r="D90" s="124">
        <v>5.270382</v>
      </c>
      <c r="E90" s="124">
        <v>6.0625100000000005</v>
      </c>
    </row>
    <row r="91" spans="1:5" ht="11.25">
      <c r="A91" s="45" t="s">
        <v>52</v>
      </c>
      <c r="B91" s="98"/>
      <c r="C91" s="124"/>
      <c r="D91" s="124"/>
      <c r="E91" s="124"/>
    </row>
    <row r="92" spans="1:5" ht="11.25">
      <c r="A92" s="24" t="s">
        <v>59</v>
      </c>
      <c r="B92" s="99"/>
      <c r="C92" s="124"/>
      <c r="D92" s="124"/>
      <c r="E92" s="124"/>
    </row>
    <row r="93" spans="1:5" ht="11.25">
      <c r="A93" s="24" t="s">
        <v>57</v>
      </c>
      <c r="B93" s="99">
        <v>77.1</v>
      </c>
      <c r="C93" s="124">
        <v>2.1486</v>
      </c>
      <c r="D93" s="124">
        <v>74.396597</v>
      </c>
      <c r="E93" s="124">
        <v>79.850802</v>
      </c>
    </row>
    <row r="94" spans="1:5" ht="11.25">
      <c r="A94" s="24" t="s">
        <v>58</v>
      </c>
      <c r="B94" s="99">
        <v>22.9</v>
      </c>
      <c r="C94" s="124">
        <v>7.2438</v>
      </c>
      <c r="D94" s="124">
        <v>20.149198</v>
      </c>
      <c r="E94" s="124">
        <v>25.603403000000004</v>
      </c>
    </row>
    <row r="95" spans="1:5" ht="11.25">
      <c r="A95" s="24" t="s">
        <v>60</v>
      </c>
      <c r="B95" s="99"/>
      <c r="C95" s="123"/>
      <c r="D95" s="105"/>
      <c r="E95" s="105"/>
    </row>
    <row r="96" spans="1:5" ht="11.25">
      <c r="A96" s="24" t="s">
        <v>57</v>
      </c>
      <c r="B96" s="99">
        <v>98</v>
      </c>
      <c r="C96" s="124">
        <v>0.17600000000000002</v>
      </c>
      <c r="D96" s="124">
        <v>97.66829299999999</v>
      </c>
      <c r="E96" s="124">
        <v>98.23535100000001</v>
      </c>
    </row>
    <row r="97" spans="1:5" ht="11.25">
      <c r="A97" s="24" t="s">
        <v>58</v>
      </c>
      <c r="B97" s="99">
        <v>2</v>
      </c>
      <c r="C97" s="124">
        <v>8.4155</v>
      </c>
      <c r="D97" s="124">
        <v>1.7646490000000001</v>
      </c>
      <c r="E97" s="124">
        <v>2.3317069999999998</v>
      </c>
    </row>
    <row r="98" spans="1:5" ht="11.25">
      <c r="A98" s="24" t="s">
        <v>61</v>
      </c>
      <c r="B98" s="99"/>
      <c r="C98" s="124"/>
      <c r="D98" s="124"/>
      <c r="E98" s="124"/>
    </row>
    <row r="99" spans="1:5" ht="11.25">
      <c r="A99" s="24" t="s">
        <v>57</v>
      </c>
      <c r="B99" s="99">
        <v>88.9</v>
      </c>
      <c r="C99" s="124">
        <v>0.7505999999999999</v>
      </c>
      <c r="D99" s="124">
        <v>87.765845</v>
      </c>
      <c r="E99" s="124">
        <v>89.960517</v>
      </c>
    </row>
    <row r="100" spans="1:5" ht="11.25">
      <c r="A100" s="24" t="s">
        <v>58</v>
      </c>
      <c r="B100" s="99">
        <v>11.1</v>
      </c>
      <c r="C100" s="124">
        <v>5.9894</v>
      </c>
      <c r="D100" s="124">
        <v>10.039483</v>
      </c>
      <c r="E100" s="124">
        <v>12.234155</v>
      </c>
    </row>
    <row r="101" spans="1:5" ht="11.25">
      <c r="A101" s="43" t="s">
        <v>62</v>
      </c>
      <c r="B101" s="98"/>
      <c r="C101" s="123"/>
      <c r="D101" s="105"/>
      <c r="E101" s="105"/>
    </row>
    <row r="102" spans="1:5" ht="11.25">
      <c r="A102" s="29" t="s">
        <v>35</v>
      </c>
      <c r="B102" s="98"/>
      <c r="C102" s="123"/>
      <c r="D102" s="105"/>
      <c r="E102" s="105"/>
    </row>
    <row r="103" spans="1:5" ht="11.25">
      <c r="A103" s="24" t="s">
        <v>57</v>
      </c>
      <c r="B103" s="99">
        <v>88.8</v>
      </c>
      <c r="C103" s="124">
        <v>1.5089</v>
      </c>
      <c r="D103" s="124">
        <v>86.58027</v>
      </c>
      <c r="E103" s="124">
        <v>90.989846</v>
      </c>
    </row>
    <row r="104" spans="1:5" ht="11.25">
      <c r="A104" s="24" t="s">
        <v>58</v>
      </c>
      <c r="B104" s="99">
        <v>11.2</v>
      </c>
      <c r="C104" s="124">
        <v>11.9459</v>
      </c>
      <c r="D104" s="124">
        <v>9.010154</v>
      </c>
      <c r="E104" s="124">
        <v>13.41973</v>
      </c>
    </row>
    <row r="105" spans="1:5" ht="11.25">
      <c r="A105" s="29" t="s">
        <v>36</v>
      </c>
      <c r="B105" s="98"/>
      <c r="C105" s="123"/>
      <c r="D105" s="105"/>
      <c r="E105" s="105"/>
    </row>
    <row r="106" spans="1:5" ht="11.25">
      <c r="A106" s="24" t="s">
        <v>57</v>
      </c>
      <c r="B106" s="98">
        <v>92.5</v>
      </c>
      <c r="C106" s="125">
        <v>0.49</v>
      </c>
      <c r="D106" s="125">
        <v>90.598</v>
      </c>
      <c r="E106" s="125">
        <v>94.6679</v>
      </c>
    </row>
    <row r="107" spans="1:5" ht="11.25">
      <c r="A107" s="24" t="s">
        <v>58</v>
      </c>
      <c r="B107" s="98">
        <v>7.5</v>
      </c>
      <c r="C107" s="125">
        <v>4.6213999999999995</v>
      </c>
      <c r="D107" s="125">
        <v>3.932</v>
      </c>
      <c r="E107" s="125">
        <v>9.04017</v>
      </c>
    </row>
    <row r="108" spans="1:5" ht="11.25">
      <c r="A108" s="29" t="s">
        <v>37</v>
      </c>
      <c r="B108" s="98"/>
      <c r="C108" s="125"/>
      <c r="D108" s="125"/>
      <c r="E108" s="125"/>
    </row>
    <row r="109" spans="1:5" ht="11.25">
      <c r="A109" s="24" t="s">
        <v>57</v>
      </c>
      <c r="B109" s="98">
        <v>96.5</v>
      </c>
      <c r="C109" s="125">
        <v>0.6705</v>
      </c>
      <c r="D109" s="125">
        <v>94.061063</v>
      </c>
      <c r="E109" s="125">
        <v>98.79807000000001</v>
      </c>
    </row>
    <row r="110" spans="1:5" ht="11.25">
      <c r="A110" s="24" t="s">
        <v>58</v>
      </c>
      <c r="B110" s="98">
        <v>3.5</v>
      </c>
      <c r="C110" s="125">
        <v>4.4955</v>
      </c>
      <c r="D110" s="125">
        <v>3.8192999999999997</v>
      </c>
      <c r="E110" s="125">
        <v>9.389</v>
      </c>
    </row>
    <row r="111" spans="1:5" ht="11.25">
      <c r="A111" s="29" t="s">
        <v>38</v>
      </c>
      <c r="B111" s="98"/>
      <c r="C111" s="124"/>
      <c r="D111" s="124"/>
      <c r="E111" s="124"/>
    </row>
    <row r="112" spans="1:5" ht="11.25">
      <c r="A112" s="24" t="s">
        <v>57</v>
      </c>
      <c r="B112" s="98">
        <v>97.3</v>
      </c>
      <c r="C112" s="124">
        <v>0.5106</v>
      </c>
      <c r="D112" s="124">
        <v>96.495179</v>
      </c>
      <c r="E112" s="124">
        <v>98.130273</v>
      </c>
    </row>
    <row r="113" spans="1:5" ht="11.25">
      <c r="A113" s="24" t="s">
        <v>58</v>
      </c>
      <c r="B113" s="110" t="s">
        <v>89</v>
      </c>
      <c r="C113" s="124"/>
      <c r="D113" s="124"/>
      <c r="E113" s="124"/>
    </row>
    <row r="114" spans="1:5" ht="11.25">
      <c r="A114" s="29" t="s">
        <v>39</v>
      </c>
      <c r="B114" s="98"/>
      <c r="C114" s="124"/>
      <c r="D114" s="124"/>
      <c r="E114" s="124"/>
    </row>
    <row r="115" spans="1:5" ht="11.25">
      <c r="A115" s="24" t="s">
        <v>57</v>
      </c>
      <c r="B115" s="98">
        <v>98.6</v>
      </c>
      <c r="C115" s="124">
        <v>0.3886</v>
      </c>
      <c r="D115" s="124">
        <v>98.015291</v>
      </c>
      <c r="E115" s="124">
        <v>99.277226</v>
      </c>
    </row>
    <row r="116" spans="1:5" ht="11.25">
      <c r="A116" s="24" t="s">
        <v>58</v>
      </c>
      <c r="B116" s="110" t="s">
        <v>89</v>
      </c>
      <c r="C116" s="123"/>
      <c r="D116" s="105"/>
      <c r="E116" s="105"/>
    </row>
    <row r="117" spans="1:5" ht="22.5">
      <c r="A117" s="19" t="s">
        <v>63</v>
      </c>
      <c r="B117" s="98"/>
      <c r="C117" s="123"/>
      <c r="D117" s="105"/>
      <c r="E117" s="105"/>
    </row>
    <row r="118" spans="1:5" ht="11.25">
      <c r="A118" s="24" t="s">
        <v>57</v>
      </c>
      <c r="B118" s="98">
        <v>45.8</v>
      </c>
      <c r="C118" s="124">
        <v>1.3936</v>
      </c>
      <c r="D118" s="124">
        <v>44.744763999999996</v>
      </c>
      <c r="E118" s="124">
        <v>46.844397</v>
      </c>
    </row>
    <row r="119" spans="1:5" ht="11.25">
      <c r="A119" s="24" t="s">
        <v>58</v>
      </c>
      <c r="B119" s="98">
        <v>54.2</v>
      </c>
      <c r="C119" s="124">
        <v>1.1774</v>
      </c>
      <c r="D119" s="124">
        <v>53.155603</v>
      </c>
      <c r="E119" s="124">
        <v>55.255236</v>
      </c>
    </row>
    <row r="120" spans="1:5" ht="11.25">
      <c r="A120" s="19" t="s">
        <v>64</v>
      </c>
      <c r="B120" s="98"/>
      <c r="C120" s="124"/>
      <c r="D120" s="124"/>
      <c r="E120" s="124"/>
    </row>
    <row r="121" spans="1:5" ht="11.25">
      <c r="A121" s="24" t="s">
        <v>65</v>
      </c>
      <c r="B121" s="99">
        <v>100</v>
      </c>
      <c r="C121" s="124"/>
      <c r="D121" s="124"/>
      <c r="E121" s="124"/>
    </row>
    <row r="122" spans="1:5" ht="11.25">
      <c r="A122" s="24" t="s">
        <v>66</v>
      </c>
      <c r="B122" s="113" t="s">
        <v>89</v>
      </c>
      <c r="C122" s="124"/>
      <c r="D122" s="124"/>
      <c r="E122" s="124"/>
    </row>
    <row r="123" spans="1:5" ht="11.25">
      <c r="A123" s="24" t="s">
        <v>67</v>
      </c>
      <c r="B123" s="99">
        <v>30.7</v>
      </c>
      <c r="C123" s="124">
        <v>2.8608000000000002</v>
      </c>
      <c r="D123" s="124">
        <v>29.297736</v>
      </c>
      <c r="E123" s="124">
        <v>32.191599</v>
      </c>
    </row>
    <row r="124" spans="1:5" ht="11.25">
      <c r="A124" s="24" t="s">
        <v>68</v>
      </c>
      <c r="B124" s="99">
        <v>67.8</v>
      </c>
      <c r="C124" s="124">
        <v>1.3087</v>
      </c>
      <c r="D124" s="124">
        <v>66.339146</v>
      </c>
      <c r="E124" s="124">
        <v>69.258528</v>
      </c>
    </row>
    <row r="125" spans="1:5" ht="11.25">
      <c r="A125" s="24" t="s">
        <v>69</v>
      </c>
      <c r="B125" s="99">
        <v>1.1</v>
      </c>
      <c r="C125" s="124">
        <v>16.8714</v>
      </c>
      <c r="D125" s="124">
        <v>0.7543099999999999</v>
      </c>
      <c r="E125" s="124">
        <v>1.333882</v>
      </c>
    </row>
    <row r="126" spans="1:5" ht="11.25">
      <c r="A126" s="43" t="s">
        <v>70</v>
      </c>
      <c r="B126" s="98"/>
      <c r="C126" s="124"/>
      <c r="D126" s="124"/>
      <c r="E126" s="124"/>
    </row>
    <row r="127" spans="1:5" ht="11.25">
      <c r="A127" s="24" t="s">
        <v>71</v>
      </c>
      <c r="B127" s="99">
        <v>100</v>
      </c>
      <c r="C127" s="124"/>
      <c r="D127" s="124"/>
      <c r="E127" s="124"/>
    </row>
    <row r="128" spans="1:5" ht="11.25">
      <c r="A128" s="24" t="s">
        <v>72</v>
      </c>
      <c r="B128" s="99">
        <v>4.5</v>
      </c>
      <c r="C128" s="124">
        <v>7.832600000000001</v>
      </c>
      <c r="D128" s="124">
        <v>3.8980639999999998</v>
      </c>
      <c r="E128" s="124">
        <v>5.0511859999999995</v>
      </c>
    </row>
    <row r="129" spans="1:5" ht="11.25">
      <c r="A129" s="24" t="s">
        <v>73</v>
      </c>
      <c r="B129" s="99">
        <v>11.5</v>
      </c>
      <c r="C129" s="124">
        <v>4.952100000000001</v>
      </c>
      <c r="D129" s="124">
        <v>10.595216</v>
      </c>
      <c r="E129" s="124">
        <v>12.474611</v>
      </c>
    </row>
    <row r="130" spans="1:5" ht="11.25">
      <c r="A130" s="24" t="s">
        <v>74</v>
      </c>
      <c r="B130" s="99">
        <v>32.3</v>
      </c>
      <c r="C130" s="124">
        <v>2.6314</v>
      </c>
      <c r="D130" s="124">
        <v>30.930396</v>
      </c>
      <c r="E130" s="124">
        <v>33.729352</v>
      </c>
    </row>
    <row r="131" spans="1:5" ht="11.25">
      <c r="A131" s="24" t="s">
        <v>75</v>
      </c>
      <c r="B131" s="99">
        <v>43.3</v>
      </c>
      <c r="C131" s="124">
        <v>2.0407</v>
      </c>
      <c r="D131" s="124">
        <v>41.805203</v>
      </c>
      <c r="E131" s="124">
        <v>44.709525</v>
      </c>
    </row>
    <row r="132" spans="1:5" ht="11.25">
      <c r="A132" s="24" t="s">
        <v>76</v>
      </c>
      <c r="B132" s="99">
        <v>4</v>
      </c>
      <c r="C132" s="124">
        <v>8.176</v>
      </c>
      <c r="D132" s="124">
        <v>3.45314</v>
      </c>
      <c r="E132" s="124">
        <v>4.526394</v>
      </c>
    </row>
    <row r="133" spans="1:5" ht="11.25">
      <c r="A133" s="24" t="s">
        <v>77</v>
      </c>
      <c r="B133" s="99">
        <v>4.4</v>
      </c>
      <c r="C133" s="124">
        <v>7.9943</v>
      </c>
      <c r="D133" s="124">
        <v>3.833037</v>
      </c>
      <c r="E133" s="124">
        <v>4.993875</v>
      </c>
    </row>
    <row r="134" spans="1:5" ht="22.5">
      <c r="A134" s="19" t="s">
        <v>88</v>
      </c>
      <c r="B134" s="98"/>
      <c r="C134" s="124"/>
      <c r="D134" s="124"/>
      <c r="E134" s="124"/>
    </row>
    <row r="135" spans="1:5" ht="11.25">
      <c r="A135" s="24" t="s">
        <v>78</v>
      </c>
      <c r="B135" s="98"/>
      <c r="C135" s="124"/>
      <c r="D135" s="124"/>
      <c r="E135" s="124"/>
    </row>
    <row r="136" spans="1:5" ht="11.25">
      <c r="A136" s="24" t="s">
        <v>72</v>
      </c>
      <c r="B136" s="99">
        <v>2.9</v>
      </c>
      <c r="C136" s="124">
        <v>10.284600000000001</v>
      </c>
      <c r="D136" s="124">
        <v>2.441936</v>
      </c>
      <c r="E136" s="124">
        <v>3.4364770000000004</v>
      </c>
    </row>
    <row r="137" spans="1:5" ht="11.25">
      <c r="A137" s="24" t="s">
        <v>73</v>
      </c>
      <c r="B137" s="99">
        <v>8.4</v>
      </c>
      <c r="C137" s="124">
        <v>5.5379</v>
      </c>
      <c r="D137" s="124">
        <v>7.623088</v>
      </c>
      <c r="E137" s="124">
        <v>9.151239</v>
      </c>
    </row>
    <row r="138" spans="1:5" ht="11.25">
      <c r="A138" s="24" t="s">
        <v>74</v>
      </c>
      <c r="B138" s="99">
        <v>18.7</v>
      </c>
      <c r="C138" s="124">
        <v>3.5391</v>
      </c>
      <c r="D138" s="124">
        <v>17.623365999999997</v>
      </c>
      <c r="E138" s="124">
        <v>19.802224</v>
      </c>
    </row>
    <row r="139" spans="1:5" ht="11.25">
      <c r="A139" s="24" t="s">
        <v>75</v>
      </c>
      <c r="B139" s="99">
        <v>30.5</v>
      </c>
      <c r="C139" s="124">
        <v>2.4611</v>
      </c>
      <c r="D139" s="124">
        <v>29.230602</v>
      </c>
      <c r="E139" s="124">
        <v>31.697357999999998</v>
      </c>
    </row>
    <row r="140" spans="1:5" ht="11.25">
      <c r="A140" s="24" t="s">
        <v>76</v>
      </c>
      <c r="B140" s="99">
        <v>24</v>
      </c>
      <c r="C140" s="124">
        <v>2.8622</v>
      </c>
      <c r="D140" s="124">
        <v>22.836461999999997</v>
      </c>
      <c r="E140" s="124">
        <v>25.093141000000003</v>
      </c>
    </row>
    <row r="141" spans="1:5" ht="11.25">
      <c r="A141" s="24" t="s">
        <v>77</v>
      </c>
      <c r="B141" s="99">
        <v>15.5</v>
      </c>
      <c r="C141" s="124">
        <v>3.7484</v>
      </c>
      <c r="D141" s="124">
        <v>14.574300000000001</v>
      </c>
      <c r="E141" s="124">
        <v>16.489806</v>
      </c>
    </row>
    <row r="142" spans="1:5" ht="11.25">
      <c r="A142" s="24" t="s">
        <v>79</v>
      </c>
      <c r="B142" s="98"/>
      <c r="C142" s="124"/>
      <c r="D142" s="124"/>
      <c r="E142" s="124"/>
    </row>
    <row r="143" spans="1:5" ht="11.25">
      <c r="A143" s="24" t="s">
        <v>72</v>
      </c>
      <c r="B143" s="98">
        <v>5.6</v>
      </c>
      <c r="C143" s="124">
        <v>0.029044</v>
      </c>
      <c r="D143" s="124">
        <v>0.05377166</v>
      </c>
      <c r="E143" s="124">
        <v>0.05916721</v>
      </c>
    </row>
    <row r="144" spans="1:5" ht="11.25">
      <c r="A144" s="24" t="s">
        <v>73</v>
      </c>
      <c r="B144" s="99">
        <v>20</v>
      </c>
      <c r="C144" s="124">
        <v>0.013947</v>
      </c>
      <c r="D144" s="124">
        <v>0.19552072</v>
      </c>
      <c r="E144" s="124">
        <v>0.20470202</v>
      </c>
    </row>
    <row r="145" spans="1:5" ht="11.25">
      <c r="A145" s="24" t="s">
        <v>74</v>
      </c>
      <c r="B145" s="98">
        <v>15.4</v>
      </c>
      <c r="C145" s="124">
        <v>0.016017</v>
      </c>
      <c r="D145" s="124">
        <v>0.15040066</v>
      </c>
      <c r="E145" s="124">
        <v>0.15854014</v>
      </c>
    </row>
    <row r="146" spans="1:5" ht="11.25">
      <c r="A146" s="24" t="s">
        <v>75</v>
      </c>
      <c r="B146" s="98">
        <v>26.4</v>
      </c>
      <c r="C146" s="124">
        <v>0.011427</v>
      </c>
      <c r="D146" s="124">
        <v>0.25768749</v>
      </c>
      <c r="E146" s="124">
        <v>0.26756028</v>
      </c>
    </row>
    <row r="147" spans="1:5" ht="11.25">
      <c r="A147" s="24" t="s">
        <v>76</v>
      </c>
      <c r="B147" s="98">
        <v>10.5</v>
      </c>
      <c r="C147" s="124">
        <v>0.019663</v>
      </c>
      <c r="D147" s="124">
        <v>0.10203418</v>
      </c>
      <c r="E147" s="124">
        <v>0.10885521</v>
      </c>
    </row>
    <row r="148" spans="1:5" ht="11.25">
      <c r="A148" s="24" t="s">
        <v>77</v>
      </c>
      <c r="B148" s="98">
        <v>22.1</v>
      </c>
      <c r="C148" s="124">
        <v>0.012986</v>
      </c>
      <c r="D148" s="124">
        <v>0.21616217</v>
      </c>
      <c r="E148" s="124">
        <v>0.22559826</v>
      </c>
    </row>
    <row r="149" spans="1:5" ht="11.25">
      <c r="A149" s="24" t="s">
        <v>55</v>
      </c>
      <c r="B149" s="98"/>
      <c r="C149" s="124"/>
      <c r="D149" s="124"/>
      <c r="E149" s="124"/>
    </row>
    <row r="150" spans="1:5" ht="11.25">
      <c r="A150" s="24" t="s">
        <v>72</v>
      </c>
      <c r="B150" s="99">
        <v>18</v>
      </c>
      <c r="C150" s="124">
        <v>2.6332</v>
      </c>
      <c r="D150" s="124">
        <v>17.252279</v>
      </c>
      <c r="E150" s="124">
        <v>0.18814506</v>
      </c>
    </row>
    <row r="151" spans="1:5" ht="11.25">
      <c r="A151" s="24" t="s">
        <v>73</v>
      </c>
      <c r="B151" s="99">
        <v>35.8</v>
      </c>
      <c r="C151" s="124">
        <v>1.6798</v>
      </c>
      <c r="D151" s="124">
        <v>34.771879</v>
      </c>
      <c r="E151" s="124">
        <v>0.36748074</v>
      </c>
    </row>
    <row r="152" spans="1:5" ht="11.25">
      <c r="A152" s="24" t="s">
        <v>74</v>
      </c>
      <c r="B152" s="99">
        <v>10.1</v>
      </c>
      <c r="C152" s="124">
        <v>3.7617</v>
      </c>
      <c r="D152" s="124">
        <v>9.452795</v>
      </c>
      <c r="E152" s="124">
        <v>0.10699806</v>
      </c>
    </row>
    <row r="153" spans="1:5" ht="11.25">
      <c r="A153" s="24" t="s">
        <v>75</v>
      </c>
      <c r="B153" s="99">
        <v>17.9</v>
      </c>
      <c r="C153" s="124">
        <v>2.6665</v>
      </c>
      <c r="D153" s="124">
        <v>17.106253</v>
      </c>
      <c r="E153" s="124">
        <v>0.1867574</v>
      </c>
    </row>
    <row r="154" spans="1:5" ht="11.25">
      <c r="A154" s="24" t="s">
        <v>76</v>
      </c>
      <c r="B154" s="99">
        <v>4.5</v>
      </c>
      <c r="C154" s="124">
        <v>5.993600000000001</v>
      </c>
      <c r="D154" s="124">
        <v>4.0960469999999995</v>
      </c>
      <c r="E154" s="124">
        <v>0.04992075</v>
      </c>
    </row>
    <row r="155" spans="1:5" ht="11.25">
      <c r="A155" s="46" t="s">
        <v>77</v>
      </c>
      <c r="B155" s="126">
        <v>13.7</v>
      </c>
      <c r="C155" s="127">
        <v>3.2030000000000003</v>
      </c>
      <c r="D155" s="127">
        <v>12.973695</v>
      </c>
      <c r="E155" s="127">
        <v>0.14416851</v>
      </c>
    </row>
    <row r="156" spans="1:5" ht="11.25">
      <c r="A156" s="34"/>
      <c r="B156" s="48"/>
      <c r="C156" s="37"/>
      <c r="D156" s="37"/>
      <c r="E156" s="37"/>
    </row>
    <row r="157" spans="1:5" ht="11.25">
      <c r="A157" s="35" t="s">
        <v>109</v>
      </c>
      <c r="B157" s="48"/>
      <c r="C157" s="37"/>
      <c r="D157" s="37"/>
      <c r="E157" s="37"/>
    </row>
    <row r="158" spans="1:5" ht="11.25">
      <c r="A158" s="35" t="s">
        <v>110</v>
      </c>
      <c r="B158" s="48"/>
      <c r="C158" s="37"/>
      <c r="D158" s="37"/>
      <c r="E158" s="37"/>
    </row>
    <row r="159" spans="1:5" ht="11.25">
      <c r="A159" s="35" t="s">
        <v>111</v>
      </c>
      <c r="B159" s="48"/>
      <c r="C159" s="37"/>
      <c r="D159" s="37"/>
      <c r="E159" s="37"/>
    </row>
    <row r="160" spans="1:5" ht="11.25">
      <c r="A160" s="36" t="s">
        <v>91</v>
      </c>
      <c r="B160" s="48"/>
      <c r="C160" s="37"/>
      <c r="D160" s="37"/>
      <c r="E160" s="37"/>
    </row>
    <row r="161" spans="1:5" ht="11.25">
      <c r="A161" s="34"/>
      <c r="B161" s="48"/>
      <c r="C161" s="37"/>
      <c r="D161" s="37"/>
      <c r="E161" s="37"/>
    </row>
    <row r="162" spans="1:5" ht="11.25">
      <c r="A162" s="34" t="s">
        <v>106</v>
      </c>
      <c r="B162" s="48"/>
      <c r="C162" s="37"/>
      <c r="D162" s="37"/>
      <c r="E162" s="37"/>
    </row>
    <row r="167" spans="1:5" ht="12">
      <c r="A167" s="143" t="s">
        <v>120</v>
      </c>
      <c r="B167" s="49"/>
      <c r="C167" s="50"/>
      <c r="D167" s="50"/>
      <c r="E167" s="50"/>
    </row>
    <row r="168" spans="1:5" ht="11.25">
      <c r="A168" s="56"/>
      <c r="B168" s="51"/>
      <c r="C168" s="52"/>
      <c r="D168" s="52"/>
      <c r="E168" s="52"/>
    </row>
    <row r="169" spans="1:5" ht="12.75">
      <c r="A169" s="159" t="s">
        <v>135</v>
      </c>
      <c r="B169" s="166" t="s">
        <v>80</v>
      </c>
      <c r="C169" s="150" t="s">
        <v>81</v>
      </c>
      <c r="D169" s="169" t="s">
        <v>84</v>
      </c>
      <c r="E169" s="170"/>
    </row>
    <row r="170" spans="1:5" ht="11.25" customHeight="1">
      <c r="A170" s="160"/>
      <c r="B170" s="163"/>
      <c r="C170" s="149"/>
      <c r="D170" s="167" t="s">
        <v>82</v>
      </c>
      <c r="E170" s="167" t="s">
        <v>83</v>
      </c>
    </row>
    <row r="171" spans="1:5" ht="11.25">
      <c r="A171" s="17"/>
      <c r="B171" s="18"/>
      <c r="C171" s="50"/>
      <c r="D171" s="50"/>
      <c r="E171" s="50"/>
    </row>
    <row r="172" spans="1:5" ht="11.25">
      <c r="A172" s="19" t="s">
        <v>0</v>
      </c>
      <c r="B172" s="94">
        <v>8874497</v>
      </c>
      <c r="C172" s="116"/>
      <c r="D172" s="116"/>
      <c r="E172" s="116"/>
    </row>
    <row r="173" spans="1:5" ht="11.25">
      <c r="A173" s="21" t="s">
        <v>1</v>
      </c>
      <c r="B173" s="102"/>
      <c r="C173" s="116"/>
      <c r="D173" s="116"/>
      <c r="E173" s="116"/>
    </row>
    <row r="174" spans="1:5" ht="11.25">
      <c r="A174" s="19" t="s">
        <v>2</v>
      </c>
      <c r="B174" s="99"/>
      <c r="C174" s="116"/>
      <c r="D174" s="116"/>
      <c r="E174" s="116"/>
    </row>
    <row r="175" spans="1:5" ht="11.25">
      <c r="A175" s="17" t="s">
        <v>3</v>
      </c>
      <c r="B175" s="99">
        <v>7.1</v>
      </c>
      <c r="C175" s="123">
        <v>2.988</v>
      </c>
      <c r="D175" s="105">
        <v>6.691371</v>
      </c>
      <c r="E175" s="105">
        <v>7.383133</v>
      </c>
    </row>
    <row r="176" spans="1:5" ht="11.25">
      <c r="A176" s="17" t="s">
        <v>4</v>
      </c>
      <c r="B176" s="99">
        <v>12.3</v>
      </c>
      <c r="C176" s="123">
        <v>2.178</v>
      </c>
      <c r="D176" s="105">
        <v>11.865589</v>
      </c>
      <c r="E176" s="105">
        <v>12.747349</v>
      </c>
    </row>
    <row r="177" spans="1:5" ht="11.25">
      <c r="A177" s="17" t="s">
        <v>5</v>
      </c>
      <c r="B177" s="99">
        <v>80.6</v>
      </c>
      <c r="C177" s="123">
        <v>0.3947</v>
      </c>
      <c r="D177" s="105">
        <v>80.13268</v>
      </c>
      <c r="E177" s="105">
        <v>81.179878</v>
      </c>
    </row>
    <row r="178" spans="1:5" ht="11.25">
      <c r="A178" s="19" t="s">
        <v>92</v>
      </c>
      <c r="B178" s="99"/>
      <c r="C178" s="123"/>
      <c r="D178" s="105"/>
      <c r="E178" s="105"/>
    </row>
    <row r="179" spans="1:5" ht="11.25">
      <c r="A179" s="17" t="s">
        <v>6</v>
      </c>
      <c r="B179" s="99">
        <v>97.3</v>
      </c>
      <c r="C179" s="55">
        <v>0.1315</v>
      </c>
      <c r="D179" s="55">
        <v>97.088329</v>
      </c>
      <c r="E179" s="55">
        <v>97.509346</v>
      </c>
    </row>
    <row r="180" spans="1:5" ht="11.25">
      <c r="A180" s="17" t="s">
        <v>7</v>
      </c>
      <c r="B180" s="99">
        <v>83.1</v>
      </c>
      <c r="C180" s="55">
        <v>0.3591</v>
      </c>
      <c r="D180" s="100">
        <v>82.419101</v>
      </c>
      <c r="E180" s="100">
        <v>83.398656</v>
      </c>
    </row>
    <row r="181" spans="1:5" ht="11.25">
      <c r="A181" s="17" t="s">
        <v>8</v>
      </c>
      <c r="B181" s="99">
        <v>14.2</v>
      </c>
      <c r="C181" s="123">
        <v>1.9494</v>
      </c>
      <c r="D181" s="105">
        <v>13.77273</v>
      </c>
      <c r="E181" s="105">
        <v>14.685274000000001</v>
      </c>
    </row>
    <row r="182" spans="1:5" ht="11.25">
      <c r="A182" s="17" t="s">
        <v>9</v>
      </c>
      <c r="B182" s="99">
        <v>2.70116268777502</v>
      </c>
      <c r="C182" s="123">
        <v>4.7963</v>
      </c>
      <c r="D182" s="105">
        <v>2.456561</v>
      </c>
      <c r="E182" s="105">
        <v>2.877372</v>
      </c>
    </row>
    <row r="183" spans="1:5" ht="11.25">
      <c r="A183" s="19" t="s">
        <v>93</v>
      </c>
      <c r="B183" s="99"/>
      <c r="C183" s="123"/>
      <c r="D183" s="105"/>
      <c r="E183" s="105"/>
    </row>
    <row r="184" spans="1:5" ht="11.25">
      <c r="A184" s="17" t="s">
        <v>10</v>
      </c>
      <c r="B184" s="99">
        <f>100-B185</f>
        <v>86.3965733541912</v>
      </c>
      <c r="C184" s="123">
        <v>0.336</v>
      </c>
      <c r="D184" s="105">
        <v>85.773885</v>
      </c>
      <c r="E184" s="105">
        <v>86.727168</v>
      </c>
    </row>
    <row r="185" spans="1:5" ht="11.25">
      <c r="A185" s="17" t="s">
        <v>11</v>
      </c>
      <c r="B185" s="99">
        <v>13.603426645808796</v>
      </c>
      <c r="C185" s="123">
        <v>2.1262</v>
      </c>
      <c r="D185" s="105">
        <v>13.080941</v>
      </c>
      <c r="E185" s="105">
        <v>14.029094</v>
      </c>
    </row>
    <row r="186" spans="1:5" ht="11.25">
      <c r="A186" s="25" t="s">
        <v>94</v>
      </c>
      <c r="B186" s="99"/>
      <c r="C186" s="123"/>
      <c r="D186" s="105"/>
      <c r="E186" s="105"/>
    </row>
    <row r="187" spans="1:5" ht="11.25">
      <c r="A187" s="17" t="s">
        <v>12</v>
      </c>
      <c r="B187" s="99">
        <f>100-B188</f>
        <v>93.7</v>
      </c>
      <c r="C187" s="123">
        <v>0.2312</v>
      </c>
      <c r="D187" s="105">
        <v>93.348192</v>
      </c>
      <c r="E187" s="105">
        <v>94.060918</v>
      </c>
    </row>
    <row r="188" spans="1:5" ht="11.25">
      <c r="A188" s="17" t="s">
        <v>13</v>
      </c>
      <c r="B188" s="99">
        <v>6.3</v>
      </c>
      <c r="C188" s="123">
        <v>3.4413</v>
      </c>
      <c r="D188" s="105">
        <v>5.939082</v>
      </c>
      <c r="E188" s="105">
        <v>6.651807999999999</v>
      </c>
    </row>
    <row r="189" spans="1:5" ht="11.25">
      <c r="A189" s="19" t="s">
        <v>14</v>
      </c>
      <c r="B189" s="98"/>
      <c r="C189" s="123"/>
      <c r="D189" s="105"/>
      <c r="E189" s="105"/>
    </row>
    <row r="190" spans="1:5" ht="11.25">
      <c r="A190" s="17" t="s">
        <v>15</v>
      </c>
      <c r="B190" s="99">
        <f>100-B194</f>
        <v>97.08460096386308</v>
      </c>
      <c r="C190" s="123">
        <v>0.15380000000000002</v>
      </c>
      <c r="D190" s="105">
        <v>96.853432</v>
      </c>
      <c r="E190" s="105">
        <v>97.344744</v>
      </c>
    </row>
    <row r="191" spans="1:5" ht="11.25">
      <c r="A191" s="17" t="s">
        <v>16</v>
      </c>
      <c r="B191" s="99">
        <v>87.7</v>
      </c>
      <c r="C191" s="105">
        <v>0.34459999999999996</v>
      </c>
      <c r="D191" s="105">
        <v>87.168994</v>
      </c>
      <c r="E191" s="105">
        <v>88.162751</v>
      </c>
    </row>
    <row r="192" spans="1:5" ht="11.25">
      <c r="A192" s="17" t="s">
        <v>17</v>
      </c>
      <c r="B192" s="99">
        <v>9.2</v>
      </c>
      <c r="C192" s="105">
        <v>2.9476999999999998</v>
      </c>
      <c r="D192" s="105">
        <v>8.801015</v>
      </c>
      <c r="E192" s="105">
        <v>9.697972</v>
      </c>
    </row>
    <row r="193" spans="1:5" ht="11.25">
      <c r="A193" s="17" t="s">
        <v>18</v>
      </c>
      <c r="B193" s="117" t="s">
        <v>107</v>
      </c>
      <c r="C193" s="100"/>
      <c r="D193" s="100"/>
      <c r="E193" s="100"/>
    </row>
    <row r="194" spans="1:5" ht="11.25">
      <c r="A194" s="17" t="s">
        <v>19</v>
      </c>
      <c r="B194" s="99">
        <v>2.9153990361369213</v>
      </c>
      <c r="C194" s="123">
        <v>5.1482</v>
      </c>
      <c r="D194" s="105">
        <v>2.655265</v>
      </c>
      <c r="E194" s="105">
        <v>3.1465680000000003</v>
      </c>
    </row>
    <row r="195" spans="1:5" ht="7.5" customHeight="1">
      <c r="A195" s="17"/>
      <c r="B195" s="99"/>
      <c r="C195" s="123"/>
      <c r="D195" s="105"/>
      <c r="E195" s="105"/>
    </row>
    <row r="196" spans="1:5" ht="11.25">
      <c r="A196" s="21" t="s">
        <v>95</v>
      </c>
      <c r="B196" s="97"/>
      <c r="C196" s="123"/>
      <c r="D196" s="105"/>
      <c r="E196" s="105"/>
    </row>
    <row r="197" spans="1:5" ht="11.25">
      <c r="A197" s="25" t="s">
        <v>21</v>
      </c>
      <c r="B197" s="98"/>
      <c r="C197" s="123"/>
      <c r="D197" s="105"/>
      <c r="E197" s="105"/>
    </row>
    <row r="198" spans="1:5" ht="11.25">
      <c r="A198" s="17" t="s">
        <v>22</v>
      </c>
      <c r="B198" s="99">
        <v>89.4</v>
      </c>
      <c r="C198" s="123">
        <v>0.3277</v>
      </c>
      <c r="D198" s="105">
        <v>88.910163</v>
      </c>
      <c r="E198" s="105">
        <v>89.873967</v>
      </c>
    </row>
    <row r="199" spans="1:5" ht="11.25">
      <c r="A199" s="17" t="s">
        <v>23</v>
      </c>
      <c r="B199" s="99">
        <v>10.6</v>
      </c>
      <c r="C199" s="123">
        <v>2.7618</v>
      </c>
      <c r="D199" s="105">
        <v>10.126033</v>
      </c>
      <c r="E199" s="105">
        <v>11.089837</v>
      </c>
    </row>
    <row r="200" spans="1:5" ht="11.25">
      <c r="A200" s="19" t="s">
        <v>24</v>
      </c>
      <c r="B200" s="99"/>
      <c r="C200" s="123"/>
      <c r="D200" s="105"/>
      <c r="E200" s="105"/>
    </row>
    <row r="201" spans="1:5" ht="11.25">
      <c r="A201" s="17" t="s">
        <v>22</v>
      </c>
      <c r="B201" s="99">
        <v>70.1</v>
      </c>
      <c r="C201" s="123">
        <v>0.5211</v>
      </c>
      <c r="D201" s="105">
        <v>69.452772</v>
      </c>
      <c r="E201" s="105">
        <v>70.65369299999999</v>
      </c>
    </row>
    <row r="202" spans="1:5" ht="11.25">
      <c r="A202" s="17" t="s">
        <v>23</v>
      </c>
      <c r="B202" s="99">
        <v>29.9</v>
      </c>
      <c r="C202" s="123">
        <v>1.2189999999999999</v>
      </c>
      <c r="D202" s="105">
        <v>29.346307</v>
      </c>
      <c r="E202" s="105">
        <v>30.547227999999997</v>
      </c>
    </row>
    <row r="203" spans="1:5" ht="11.25">
      <c r="A203" s="19" t="s">
        <v>25</v>
      </c>
      <c r="B203" s="98"/>
      <c r="C203" s="123"/>
      <c r="D203" s="105"/>
      <c r="E203" s="105"/>
    </row>
    <row r="204" spans="1:5" ht="11.25">
      <c r="A204" s="17" t="s">
        <v>22</v>
      </c>
      <c r="B204" s="99">
        <v>71.4</v>
      </c>
      <c r="C204" s="123">
        <v>0.4747</v>
      </c>
      <c r="D204" s="105">
        <v>70.881394</v>
      </c>
      <c r="E204" s="105">
        <v>71.997116</v>
      </c>
    </row>
    <row r="205" spans="1:5" ht="11.25">
      <c r="A205" s="17" t="s">
        <v>23</v>
      </c>
      <c r="B205" s="99">
        <v>28.6</v>
      </c>
      <c r="C205" s="123">
        <v>1.1875</v>
      </c>
      <c r="D205" s="105">
        <v>28.002884</v>
      </c>
      <c r="E205" s="105">
        <v>29.118606000000003</v>
      </c>
    </row>
    <row r="206" spans="1:5" ht="6" customHeight="1">
      <c r="A206" s="17"/>
      <c r="B206" s="99"/>
      <c r="C206" s="123"/>
      <c r="D206" s="105"/>
      <c r="E206" s="105"/>
    </row>
    <row r="207" spans="1:5" ht="11.25">
      <c r="A207" s="19" t="s">
        <v>26</v>
      </c>
      <c r="B207" s="99">
        <v>44.01318083123189</v>
      </c>
      <c r="C207" s="123">
        <v>0.8576</v>
      </c>
      <c r="D207" s="105">
        <v>43.360806000000004</v>
      </c>
      <c r="E207" s="105">
        <v>44.601706</v>
      </c>
    </row>
    <row r="208" spans="1:5" ht="8.25" customHeight="1">
      <c r="A208" s="19"/>
      <c r="B208" s="99"/>
      <c r="C208" s="123"/>
      <c r="D208" s="105"/>
      <c r="E208" s="105"/>
    </row>
    <row r="209" spans="1:5" ht="11.25">
      <c r="A209" s="21" t="s">
        <v>27</v>
      </c>
      <c r="B209" s="102"/>
      <c r="C209" s="123"/>
      <c r="D209" s="105"/>
      <c r="E209" s="105"/>
    </row>
    <row r="210" spans="1:5" ht="11.25">
      <c r="A210" s="19" t="s">
        <v>96</v>
      </c>
      <c r="B210" s="99">
        <v>7.070011968002243</v>
      </c>
      <c r="C210" s="123">
        <v>2.9871000000000003</v>
      </c>
      <c r="D210" s="105">
        <v>6.679632000000001</v>
      </c>
      <c r="E210" s="105">
        <v>7.369953999999999</v>
      </c>
    </row>
    <row r="211" spans="1:5" ht="11.25">
      <c r="A211" s="19" t="s">
        <v>97</v>
      </c>
      <c r="B211" s="99">
        <v>11.194426005214718</v>
      </c>
      <c r="C211" s="123">
        <v>2.487</v>
      </c>
      <c r="D211" s="105">
        <v>10.683314</v>
      </c>
      <c r="E211" s="105">
        <v>11.594688</v>
      </c>
    </row>
    <row r="212" spans="1:5" ht="11.25">
      <c r="A212" s="28"/>
      <c r="B212" s="99"/>
      <c r="C212" s="123"/>
      <c r="D212" s="105"/>
      <c r="E212" s="105"/>
    </row>
    <row r="213" spans="1:5" ht="11.25">
      <c r="A213" s="21" t="s">
        <v>98</v>
      </c>
      <c r="B213" s="102"/>
      <c r="C213" s="123"/>
      <c r="D213" s="105"/>
      <c r="E213" s="105"/>
    </row>
    <row r="214" spans="1:5" ht="11.25">
      <c r="A214" s="29" t="s">
        <v>28</v>
      </c>
      <c r="B214" s="99">
        <v>67.3</v>
      </c>
      <c r="C214" s="123">
        <v>0.5462</v>
      </c>
      <c r="D214" s="105">
        <v>66.609448</v>
      </c>
      <c r="E214" s="105">
        <v>67.817292</v>
      </c>
    </row>
    <row r="215" spans="1:5" ht="11.25">
      <c r="A215" s="29" t="s">
        <v>29</v>
      </c>
      <c r="B215" s="99">
        <v>4.7</v>
      </c>
      <c r="C215" s="123">
        <v>3.7695</v>
      </c>
      <c r="D215" s="123">
        <v>4.389434</v>
      </c>
      <c r="E215" s="105">
        <v>4.969747</v>
      </c>
    </row>
    <row r="216" spans="1:5" ht="11.25">
      <c r="A216" s="29" t="s">
        <v>30</v>
      </c>
      <c r="B216" s="99">
        <v>17.7</v>
      </c>
      <c r="C216" s="123">
        <v>1.6570999999999998</v>
      </c>
      <c r="D216" s="105">
        <v>17.134826</v>
      </c>
      <c r="E216" s="105">
        <v>18.095114000000002</v>
      </c>
    </row>
    <row r="217" spans="1:5" ht="11.25">
      <c r="A217" s="29" t="s">
        <v>31</v>
      </c>
      <c r="B217" s="99">
        <v>8.6</v>
      </c>
      <c r="C217" s="123">
        <v>2.5448</v>
      </c>
      <c r="D217" s="105">
        <v>8.201556</v>
      </c>
      <c r="E217" s="105">
        <v>8.918172</v>
      </c>
    </row>
    <row r="218" spans="1:5" ht="11.25">
      <c r="A218" s="29" t="s">
        <v>32</v>
      </c>
      <c r="B218" s="99">
        <v>1.7</v>
      </c>
      <c r="C218" s="123">
        <v>5.5781</v>
      </c>
      <c r="D218" s="105">
        <v>1.5776720000000002</v>
      </c>
      <c r="E218" s="105">
        <v>1.896434</v>
      </c>
    </row>
    <row r="219" spans="1:5" ht="11.25">
      <c r="A219" s="29"/>
      <c r="B219" s="99"/>
      <c r="C219" s="123"/>
      <c r="D219" s="105"/>
      <c r="E219" s="105"/>
    </row>
    <row r="220" spans="1:5" ht="11.25">
      <c r="A220" s="21" t="s">
        <v>99</v>
      </c>
      <c r="B220" s="102"/>
      <c r="C220" s="123"/>
      <c r="D220" s="105"/>
      <c r="E220" s="105"/>
    </row>
    <row r="221" spans="1:5" ht="22.5">
      <c r="A221" s="17" t="s">
        <v>100</v>
      </c>
      <c r="B221" s="102">
        <v>14.9</v>
      </c>
      <c r="C221" s="123">
        <v>2.1</v>
      </c>
      <c r="D221" s="105">
        <v>14.5</v>
      </c>
      <c r="E221" s="105">
        <v>15.3</v>
      </c>
    </row>
    <row r="222" spans="1:5" ht="11.25">
      <c r="A222" s="29" t="s">
        <v>101</v>
      </c>
      <c r="B222" s="99">
        <v>34.2</v>
      </c>
      <c r="C222" s="123">
        <v>1.3</v>
      </c>
      <c r="D222" s="105">
        <v>33.6</v>
      </c>
      <c r="E222" s="105">
        <v>34.800000000000004</v>
      </c>
    </row>
    <row r="223" spans="1:5" ht="11.25">
      <c r="A223" s="24"/>
      <c r="B223" s="98"/>
      <c r="C223" s="123"/>
      <c r="D223" s="105"/>
      <c r="E223" s="105"/>
    </row>
    <row r="224" spans="1:5" ht="11.25">
      <c r="A224" s="21" t="s">
        <v>33</v>
      </c>
      <c r="B224" s="102"/>
      <c r="C224" s="123"/>
      <c r="D224" s="105"/>
      <c r="E224" s="105"/>
    </row>
    <row r="225" spans="1:5" ht="11.25">
      <c r="A225" s="25" t="s">
        <v>34</v>
      </c>
      <c r="B225" s="98"/>
      <c r="C225" s="123"/>
      <c r="D225" s="105"/>
      <c r="E225" s="105"/>
    </row>
    <row r="226" spans="1:5" ht="11.25">
      <c r="A226" s="29" t="s">
        <v>35</v>
      </c>
      <c r="B226" s="113">
        <v>7.6</v>
      </c>
      <c r="C226" s="123">
        <v>2.7904999999999998</v>
      </c>
      <c r="D226" s="123">
        <v>7.239248</v>
      </c>
      <c r="E226" s="123">
        <v>7.93579</v>
      </c>
    </row>
    <row r="227" spans="1:5" ht="11.25">
      <c r="A227" s="29" t="s">
        <v>36</v>
      </c>
      <c r="B227" s="113">
        <v>37</v>
      </c>
      <c r="C227" s="123">
        <v>1.0255</v>
      </c>
      <c r="D227" s="123">
        <v>36.332682999999996</v>
      </c>
      <c r="E227" s="123">
        <v>37.579524</v>
      </c>
    </row>
    <row r="228" spans="1:5" ht="11.25">
      <c r="A228" s="29" t="s">
        <v>37</v>
      </c>
      <c r="B228" s="113">
        <v>31.4</v>
      </c>
      <c r="C228" s="123">
        <v>1.1352</v>
      </c>
      <c r="D228" s="123">
        <v>30.825278</v>
      </c>
      <c r="E228" s="123">
        <v>31.998390999999998</v>
      </c>
    </row>
    <row r="229" spans="1:5" ht="11.25">
      <c r="A229" s="29" t="s">
        <v>38</v>
      </c>
      <c r="B229" s="113">
        <v>13.3</v>
      </c>
      <c r="C229" s="123">
        <v>1.9494</v>
      </c>
      <c r="D229" s="123">
        <v>12.888947</v>
      </c>
      <c r="E229" s="123">
        <v>13.742925</v>
      </c>
    </row>
    <row r="230" spans="1:5" ht="11.25">
      <c r="A230" s="32" t="s">
        <v>39</v>
      </c>
      <c r="B230" s="128">
        <v>10.7</v>
      </c>
      <c r="C230" s="129">
        <v>2.3085</v>
      </c>
      <c r="D230" s="129">
        <v>10.321221999999999</v>
      </c>
      <c r="E230" s="129">
        <v>11.135993</v>
      </c>
    </row>
    <row r="231" spans="1:5" ht="11.25">
      <c r="A231" s="34"/>
      <c r="B231" s="34"/>
      <c r="C231" s="41"/>
      <c r="D231" s="38"/>
      <c r="E231" s="38"/>
    </row>
    <row r="232" spans="1:5" ht="11.25">
      <c r="A232" s="35" t="s">
        <v>109</v>
      </c>
      <c r="B232" s="34"/>
      <c r="C232" s="41"/>
      <c r="D232" s="38"/>
      <c r="E232" s="38"/>
    </row>
    <row r="233" spans="1:5" ht="11.25">
      <c r="A233" s="35" t="s">
        <v>110</v>
      </c>
      <c r="B233" s="34"/>
      <c r="C233" s="41"/>
      <c r="D233" s="38"/>
      <c r="E233" s="38"/>
    </row>
    <row r="234" spans="1:5" ht="11.25">
      <c r="A234" s="34" t="s">
        <v>104</v>
      </c>
      <c r="B234" s="34"/>
      <c r="C234" s="41"/>
      <c r="D234" s="38"/>
      <c r="E234" s="38"/>
    </row>
    <row r="235" spans="1:5" ht="11.25">
      <c r="A235" s="35" t="s">
        <v>112</v>
      </c>
      <c r="B235" s="34"/>
      <c r="C235" s="41"/>
      <c r="D235" s="38"/>
      <c r="E235" s="38"/>
    </row>
    <row r="236" spans="1:5" ht="11.25">
      <c r="A236" s="36" t="s">
        <v>91</v>
      </c>
      <c r="B236" s="34"/>
      <c r="C236" s="41"/>
      <c r="D236" s="38"/>
      <c r="E236" s="38"/>
    </row>
    <row r="237" spans="1:5" ht="11.25">
      <c r="A237" s="34"/>
      <c r="B237" s="34"/>
      <c r="C237" s="41"/>
      <c r="D237" s="38"/>
      <c r="E237" s="38"/>
    </row>
    <row r="238" spans="1:5" ht="11.25">
      <c r="A238" s="34" t="s">
        <v>106</v>
      </c>
      <c r="B238" s="34"/>
      <c r="C238" s="41"/>
      <c r="D238" s="38"/>
      <c r="E238" s="38"/>
    </row>
    <row r="239" spans="1:5" ht="11.25">
      <c r="A239" s="34"/>
      <c r="B239" s="34"/>
      <c r="C239" s="41"/>
      <c r="D239" s="38"/>
      <c r="E239" s="38"/>
    </row>
    <row r="240" spans="1:5" ht="11.25">
      <c r="A240" s="34"/>
      <c r="B240" s="34"/>
      <c r="C240" s="41"/>
      <c r="D240" s="38"/>
      <c r="E240" s="38"/>
    </row>
    <row r="241" spans="1:5" ht="11.25">
      <c r="A241" s="34"/>
      <c r="B241" s="34"/>
      <c r="C241" s="41"/>
      <c r="D241" s="38"/>
      <c r="E241" s="38"/>
    </row>
    <row r="242" spans="1:5" ht="11.25">
      <c r="A242" s="51"/>
      <c r="B242" s="51"/>
      <c r="C242" s="41"/>
      <c r="D242" s="38"/>
      <c r="E242" s="38"/>
    </row>
    <row r="243" spans="1:5" ht="11.25">
      <c r="A243" s="51"/>
      <c r="B243" s="51"/>
      <c r="C243" s="41"/>
      <c r="D243" s="38"/>
      <c r="E243" s="38"/>
    </row>
    <row r="244" spans="1:5" ht="11.25">
      <c r="A244" s="51"/>
      <c r="B244" s="51"/>
      <c r="C244" s="41"/>
      <c r="D244" s="38"/>
      <c r="E244" s="38"/>
    </row>
    <row r="245" spans="1:5" ht="11.25">
      <c r="A245" s="51"/>
      <c r="B245" s="51"/>
      <c r="C245" s="41"/>
      <c r="D245" s="38"/>
      <c r="E245" s="38"/>
    </row>
    <row r="246" spans="1:5" ht="11.25">
      <c r="A246" s="51"/>
      <c r="B246" s="51"/>
      <c r="C246" s="41"/>
      <c r="D246" s="38"/>
      <c r="E246" s="38"/>
    </row>
    <row r="247" spans="1:5" ht="11.25">
      <c r="A247" s="51"/>
      <c r="B247" s="51"/>
      <c r="C247" s="41"/>
      <c r="D247" s="38"/>
      <c r="E247" s="38"/>
    </row>
    <row r="248" spans="1:5" ht="11.25">
      <c r="A248" s="51"/>
      <c r="B248" s="51"/>
      <c r="C248" s="41"/>
      <c r="D248" s="38"/>
      <c r="E248" s="38"/>
    </row>
    <row r="249" spans="1:5" ht="11.25">
      <c r="A249" s="51"/>
      <c r="B249" s="51"/>
      <c r="C249" s="41"/>
      <c r="D249" s="38"/>
      <c r="E249" s="38"/>
    </row>
    <row r="250" spans="1:5" ht="11.25">
      <c r="A250" s="51"/>
      <c r="B250" s="51"/>
      <c r="C250" s="41"/>
      <c r="D250" s="38"/>
      <c r="E250" s="38"/>
    </row>
    <row r="251" spans="1:5" ht="11.25">
      <c r="A251" s="51"/>
      <c r="B251" s="51"/>
      <c r="C251" s="41"/>
      <c r="D251" s="38"/>
      <c r="E251" s="38"/>
    </row>
    <row r="252" spans="1:5" ht="11.25">
      <c r="A252" s="51"/>
      <c r="B252" s="51"/>
      <c r="C252" s="41"/>
      <c r="D252" s="38"/>
      <c r="E252" s="38"/>
    </row>
  </sheetData>
  <sheetProtection/>
  <mergeCells count="8">
    <mergeCell ref="A169:A170"/>
    <mergeCell ref="B169:B170"/>
    <mergeCell ref="D169:E169"/>
    <mergeCell ref="A3:A4"/>
    <mergeCell ref="B3:B4"/>
    <mergeCell ref="C3:C4"/>
    <mergeCell ref="D3:E3"/>
    <mergeCell ref="C169:C17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rowBreaks count="1" manualBreakCount="1">
    <brk id="15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37"/>
  <sheetViews>
    <sheetView showGridLines="0" zoomScalePageLayoutView="0" workbookViewId="0" topLeftCell="A1">
      <selection activeCell="A1" sqref="A1:F1"/>
    </sheetView>
  </sheetViews>
  <sheetFormatPr defaultColWidth="11.421875" defaultRowHeight="12.75"/>
  <cols>
    <col min="1" max="1" width="47.7109375" style="0" customWidth="1"/>
    <col min="2" max="2" width="17.8515625" style="0" customWidth="1"/>
    <col min="3" max="3" width="12.421875" style="0" customWidth="1"/>
    <col min="4" max="4" width="10.00390625" style="0" customWidth="1"/>
    <col min="5" max="5" width="10.421875" style="0" customWidth="1"/>
    <col min="6" max="6" width="9.421875" style="0" customWidth="1"/>
  </cols>
  <sheetData>
    <row r="1" spans="1:7" ht="12.75" customHeight="1">
      <c r="A1" s="152" t="s">
        <v>124</v>
      </c>
      <c r="B1" s="168"/>
      <c r="C1" s="168"/>
      <c r="D1" s="168"/>
      <c r="E1" s="168"/>
      <c r="F1" s="168"/>
      <c r="G1" s="10"/>
    </row>
    <row r="2" spans="1:6" ht="12.75">
      <c r="A2" s="8"/>
      <c r="B2" s="9"/>
      <c r="C2" s="9"/>
      <c r="D2" s="7"/>
      <c r="E2" s="7"/>
      <c r="F2" s="7"/>
    </row>
    <row r="3" spans="1:6" s="39" customFormat="1" ht="11.25">
      <c r="A3" s="159" t="s">
        <v>134</v>
      </c>
      <c r="B3" s="14"/>
      <c r="C3" s="166" t="s">
        <v>80</v>
      </c>
      <c r="D3" s="150" t="s">
        <v>81</v>
      </c>
      <c r="E3" s="156" t="s">
        <v>84</v>
      </c>
      <c r="F3" s="156"/>
    </row>
    <row r="4" spans="1:6" s="39" customFormat="1" ht="11.25">
      <c r="A4" s="160"/>
      <c r="B4" s="16"/>
      <c r="C4" s="163"/>
      <c r="D4" s="149"/>
      <c r="E4" s="167" t="s">
        <v>82</v>
      </c>
      <c r="F4" s="167" t="s">
        <v>83</v>
      </c>
    </row>
    <row r="5" spans="1:6" s="39" customFormat="1" ht="11.25">
      <c r="A5" s="17"/>
      <c r="B5" s="18"/>
      <c r="C5" s="18"/>
      <c r="D5" s="57"/>
      <c r="E5" s="57"/>
      <c r="F5" s="57"/>
    </row>
    <row r="6" spans="1:6" s="39" customFormat="1" ht="11.25">
      <c r="A6" s="19" t="s">
        <v>40</v>
      </c>
      <c r="B6" s="20"/>
      <c r="C6" s="94">
        <v>27450898</v>
      </c>
      <c r="D6" s="95"/>
      <c r="E6" s="95"/>
      <c r="F6" s="96"/>
    </row>
    <row r="7" spans="1:6" s="39" customFormat="1" ht="11.25">
      <c r="A7" s="21" t="s">
        <v>1</v>
      </c>
      <c r="B7" s="22"/>
      <c r="C7" s="97"/>
      <c r="D7" s="95"/>
      <c r="E7" s="95"/>
      <c r="F7" s="95"/>
    </row>
    <row r="8" spans="1:6" s="39" customFormat="1" ht="11.25">
      <c r="A8" s="19" t="s">
        <v>2</v>
      </c>
      <c r="B8" s="23"/>
      <c r="C8" s="98"/>
      <c r="D8" s="95"/>
      <c r="E8" s="95"/>
      <c r="F8" s="95"/>
    </row>
    <row r="9" spans="1:6" s="39" customFormat="1" ht="11.25">
      <c r="A9" s="17" t="s">
        <v>3</v>
      </c>
      <c r="B9" s="23"/>
      <c r="C9" s="99">
        <v>9.8</v>
      </c>
      <c r="D9" s="55">
        <f>0.13775*100</f>
        <v>13.775</v>
      </c>
      <c r="E9" s="100">
        <f>0.09591935*100</f>
        <v>9.591935</v>
      </c>
      <c r="F9" s="100">
        <f>0.1003669*100</f>
        <v>10.03669</v>
      </c>
    </row>
    <row r="10" spans="1:6" s="39" customFormat="1" ht="11.25">
      <c r="A10" s="17" t="s">
        <v>4</v>
      </c>
      <c r="B10" s="23"/>
      <c r="C10" s="99">
        <v>15.6</v>
      </c>
      <c r="D10" s="55">
        <f>0.010536*100</f>
        <v>1.0536</v>
      </c>
      <c r="E10" s="100">
        <f>0.15366807*100</f>
        <v>15.366807</v>
      </c>
      <c r="F10" s="100">
        <f>0.15908833*100</f>
        <v>15.908833</v>
      </c>
    </row>
    <row r="11" spans="1:6" s="39" customFormat="1" ht="11.25">
      <c r="A11" s="17" t="s">
        <v>5</v>
      </c>
      <c r="B11" s="23"/>
      <c r="C11" s="99">
        <v>74.5</v>
      </c>
      <c r="D11" s="55">
        <f>0.002609*100</f>
        <v>0.2609</v>
      </c>
      <c r="E11" s="100">
        <f>0.74227937*100</f>
        <v>74.227937</v>
      </c>
      <c r="F11" s="100">
        <f>0.74867797*100</f>
        <v>74.867797</v>
      </c>
    </row>
    <row r="12" spans="1:6" s="39" customFormat="1" ht="11.25">
      <c r="A12" s="19" t="s">
        <v>92</v>
      </c>
      <c r="B12" s="23"/>
      <c r="C12" s="99"/>
      <c r="D12" s="95"/>
      <c r="E12" s="95"/>
      <c r="F12" s="95"/>
    </row>
    <row r="13" spans="1:6" s="39" customFormat="1" ht="11.25">
      <c r="A13" s="17" t="s">
        <v>6</v>
      </c>
      <c r="B13" s="23"/>
      <c r="C13" s="99">
        <v>94.4</v>
      </c>
      <c r="D13" s="55">
        <f>100*0.00108</f>
        <v>0.108</v>
      </c>
      <c r="E13" s="55">
        <f>100*0.94274451</f>
        <v>94.274451</v>
      </c>
      <c r="F13" s="55">
        <f>100*0.94609932</f>
        <v>94.609932</v>
      </c>
    </row>
    <row r="14" spans="1:6" s="39" customFormat="1" ht="11.25">
      <c r="A14" s="17" t="s">
        <v>7</v>
      </c>
      <c r="B14" s="23"/>
      <c r="C14" s="99">
        <v>73.1</v>
      </c>
      <c r="D14" s="100">
        <f>0.002671*100</f>
        <v>0.2671</v>
      </c>
      <c r="E14" s="100">
        <v>72.765498</v>
      </c>
      <c r="F14" s="100">
        <f>100*0.73407586</f>
        <v>73.40758600000001</v>
      </c>
    </row>
    <row r="15" spans="1:6" s="39" customFormat="1" ht="11.25">
      <c r="A15" s="17" t="s">
        <v>8</v>
      </c>
      <c r="B15" s="23"/>
      <c r="C15" s="99">
        <v>21.3</v>
      </c>
      <c r="D15" s="100">
        <f>0.008506*100</f>
        <v>0.8506</v>
      </c>
      <c r="E15" s="100">
        <f>0.2099133*100</f>
        <v>20.99133</v>
      </c>
      <c r="F15" s="100">
        <f>0.21587088*100</f>
        <v>21.587087999999998</v>
      </c>
    </row>
    <row r="16" spans="1:6" s="39" customFormat="1" ht="11.25">
      <c r="A16" s="42" t="s">
        <v>9</v>
      </c>
      <c r="B16" s="23"/>
      <c r="C16" s="99">
        <v>5.6</v>
      </c>
      <c r="D16" s="100">
        <f>0.018349*100</f>
        <v>1.8349</v>
      </c>
      <c r="E16" s="100">
        <f>0.05386272*100</f>
        <v>5.386272</v>
      </c>
      <c r="F16" s="100">
        <f>0.05721525*100</f>
        <v>5.721525000000001</v>
      </c>
    </row>
    <row r="17" spans="1:6" s="39" customFormat="1" ht="11.25">
      <c r="A17" s="19" t="s">
        <v>93</v>
      </c>
      <c r="B17" s="23"/>
      <c r="C17" s="99"/>
      <c r="D17" s="95"/>
      <c r="E17" s="95"/>
      <c r="F17" s="95"/>
    </row>
    <row r="18" spans="1:6" s="39" customFormat="1" ht="11.25">
      <c r="A18" s="17" t="s">
        <v>10</v>
      </c>
      <c r="B18" s="23"/>
      <c r="C18" s="99">
        <f>100-C19</f>
        <v>82.6</v>
      </c>
      <c r="D18" s="100">
        <f>0.002194*100</f>
        <v>0.2194</v>
      </c>
      <c r="E18" s="100">
        <f>0.82255854*100</f>
        <v>82.255854</v>
      </c>
      <c r="F18" s="100">
        <f>0.82851765*100</f>
        <v>82.851765</v>
      </c>
    </row>
    <row r="19" spans="1:6" s="39" customFormat="1" ht="11.25">
      <c r="A19" s="17" t="s">
        <v>11</v>
      </c>
      <c r="B19" s="23"/>
      <c r="C19" s="99">
        <v>17.4</v>
      </c>
      <c r="D19" s="100">
        <f>0.010404*100</f>
        <v>1.0404</v>
      </c>
      <c r="E19" s="100">
        <f>0.17096363*100</f>
        <v>17.096363</v>
      </c>
      <c r="F19" s="100">
        <f>0.17691709*100</f>
        <v>17.691709</v>
      </c>
    </row>
    <row r="20" spans="1:6" s="39" customFormat="1" ht="11.25">
      <c r="A20" s="25" t="s">
        <v>94</v>
      </c>
      <c r="B20" s="23"/>
      <c r="C20" s="99"/>
      <c r="D20" s="95"/>
      <c r="E20" s="95"/>
      <c r="F20" s="95"/>
    </row>
    <row r="21" spans="1:6" s="39" customFormat="1" ht="11.25">
      <c r="A21" s="17" t="s">
        <v>12</v>
      </c>
      <c r="B21" s="23"/>
      <c r="C21" s="99">
        <v>91.4</v>
      </c>
      <c r="D21" s="101">
        <f>0.01544*100</f>
        <v>1.544</v>
      </c>
      <c r="E21" s="101">
        <f>0.91198212*100</f>
        <v>91.198212</v>
      </c>
      <c r="F21" s="101">
        <f>100*0.91662596</f>
        <v>91.662596</v>
      </c>
    </row>
    <row r="22" spans="1:6" s="39" customFormat="1" ht="11.25">
      <c r="A22" s="17" t="s">
        <v>13</v>
      </c>
      <c r="B22" s="23"/>
      <c r="C22" s="99">
        <v>8.6</v>
      </c>
      <c r="D22" s="101">
        <f>0.016472*100</f>
        <v>1.6472</v>
      </c>
      <c r="E22" s="101">
        <f>0.08337404*100</f>
        <v>8.337404</v>
      </c>
      <c r="F22" s="101">
        <f>0.08801788*100</f>
        <v>8.801788</v>
      </c>
    </row>
    <row r="23" spans="1:6" s="39" customFormat="1" ht="11.25">
      <c r="A23" s="19" t="s">
        <v>14</v>
      </c>
      <c r="B23" s="18"/>
      <c r="C23" s="98"/>
      <c r="D23" s="95"/>
      <c r="E23" s="95"/>
      <c r="F23" s="95"/>
    </row>
    <row r="24" spans="1:6" s="39" customFormat="1" ht="11.25">
      <c r="A24" s="17" t="s">
        <v>15</v>
      </c>
      <c r="B24" s="23"/>
      <c r="C24" s="99">
        <f>100-C28</f>
        <v>96.7</v>
      </c>
      <c r="D24" s="100">
        <f>0.000903*100</f>
        <v>0.0903</v>
      </c>
      <c r="E24" s="100">
        <f>0.96535412*100</f>
        <v>96.535412</v>
      </c>
      <c r="F24" s="100">
        <f>0.96822605*100</f>
        <v>96.822605</v>
      </c>
    </row>
    <row r="25" spans="1:6" s="39" customFormat="1" ht="11.25">
      <c r="A25" s="17" t="s">
        <v>16</v>
      </c>
      <c r="B25" s="23"/>
      <c r="C25" s="99">
        <v>86.1</v>
      </c>
      <c r="D25" s="100">
        <f>0.002113*100</f>
        <v>0.2113</v>
      </c>
      <c r="E25" s="100">
        <f>0.85790741*100</f>
        <v>85.790741</v>
      </c>
      <c r="F25" s="100">
        <f>0.86389236*100</f>
        <v>86.389236</v>
      </c>
    </row>
    <row r="26" spans="1:6" s="39" customFormat="1" ht="11.25">
      <c r="A26" s="17" t="s">
        <v>17</v>
      </c>
      <c r="B26" s="23"/>
      <c r="C26" s="99">
        <v>10.4</v>
      </c>
      <c r="D26" s="100">
        <f>0.106067*100</f>
        <v>10.6067</v>
      </c>
      <c r="E26" s="100">
        <f>0.10090312*100</f>
        <v>10.090311999999999</v>
      </c>
      <c r="F26" s="100">
        <f>0.10638125*100</f>
        <v>10.638125</v>
      </c>
    </row>
    <row r="27" spans="1:6" s="39" customFormat="1" ht="11.25">
      <c r="A27" s="17" t="s">
        <v>18</v>
      </c>
      <c r="B27" s="23"/>
      <c r="C27" s="99">
        <v>0.2</v>
      </c>
      <c r="D27" s="100">
        <f>0.14842*100</f>
        <v>14.841999999999999</v>
      </c>
      <c r="E27" s="100">
        <f>0.00105309*100</f>
        <v>0.105309</v>
      </c>
      <c r="F27" s="100">
        <f>0.00173334*100</f>
        <v>0.17333400000000002</v>
      </c>
    </row>
    <row r="28" spans="1:6" s="39" customFormat="1" ht="11.25">
      <c r="A28" s="17" t="s">
        <v>19</v>
      </c>
      <c r="B28" s="23"/>
      <c r="C28" s="99">
        <v>3.3</v>
      </c>
      <c r="D28" s="100">
        <f>0.026287*100</f>
        <v>2.6287000000000003</v>
      </c>
      <c r="E28" s="100">
        <f>0.03321*100</f>
        <v>3.321</v>
      </c>
      <c r="F28" s="100">
        <f>0.03464588*100</f>
        <v>3.4645879999999996</v>
      </c>
    </row>
    <row r="29" spans="1:6" s="39" customFormat="1" ht="11.25">
      <c r="A29" s="17"/>
      <c r="B29" s="23"/>
      <c r="C29" s="99"/>
      <c r="D29" s="95"/>
      <c r="E29" s="95"/>
      <c r="F29" s="95"/>
    </row>
    <row r="30" spans="1:6" s="39" customFormat="1" ht="11.25">
      <c r="A30" s="21" t="s">
        <v>20</v>
      </c>
      <c r="B30" s="27"/>
      <c r="C30" s="97"/>
      <c r="D30" s="95"/>
      <c r="E30" s="95"/>
      <c r="F30" s="95"/>
    </row>
    <row r="31" spans="1:6" s="39" customFormat="1" ht="11.25">
      <c r="A31" s="25" t="s">
        <v>21</v>
      </c>
      <c r="B31" s="18"/>
      <c r="C31" s="98"/>
      <c r="D31" s="95"/>
      <c r="E31" s="95"/>
      <c r="F31" s="95"/>
    </row>
    <row r="32" spans="1:6" s="39" customFormat="1" ht="11.25">
      <c r="A32" s="17" t="s">
        <v>22</v>
      </c>
      <c r="B32" s="23"/>
      <c r="C32" s="99">
        <v>88.1</v>
      </c>
      <c r="D32" s="100">
        <f>0.002001*100</f>
        <v>0.20010000000000003</v>
      </c>
      <c r="E32" s="100">
        <f>0.87598543*100</f>
        <v>87.59854299999999</v>
      </c>
      <c r="F32" s="100">
        <f>0.88478936*100</f>
        <v>88.47893599999999</v>
      </c>
    </row>
    <row r="33" spans="1:6" s="39" customFormat="1" ht="11.25">
      <c r="A33" s="17" t="s">
        <v>23</v>
      </c>
      <c r="B33" s="23"/>
      <c r="C33" s="99">
        <v>11.9</v>
      </c>
      <c r="D33" s="100">
        <f>0.014937*100</f>
        <v>1.4937</v>
      </c>
      <c r="E33" s="100">
        <f>0.11521064*100</f>
        <v>11.521064</v>
      </c>
      <c r="F33" s="100">
        <f>0.12101457*100</f>
        <v>12.101457</v>
      </c>
    </row>
    <row r="34" spans="1:6" s="39" customFormat="1" ht="15.75" customHeight="1">
      <c r="A34" s="19" t="s">
        <v>24</v>
      </c>
      <c r="B34" s="23"/>
      <c r="C34" s="99"/>
      <c r="D34" s="100"/>
      <c r="E34" s="100"/>
      <c r="F34" s="100"/>
    </row>
    <row r="35" spans="1:6" s="39" customFormat="1" ht="11.25">
      <c r="A35" s="17" t="s">
        <v>22</v>
      </c>
      <c r="B35" s="23"/>
      <c r="C35" s="99">
        <v>65</v>
      </c>
      <c r="D35" s="100">
        <f>0.03276*100</f>
        <v>3.276</v>
      </c>
      <c r="E35" s="100">
        <f>0.64686991*100</f>
        <v>64.686991</v>
      </c>
      <c r="F35" s="100">
        <f>0.65387828*100</f>
        <v>65.387828</v>
      </c>
    </row>
    <row r="36" spans="1:6" s="39" customFormat="1" ht="11.25">
      <c r="A36" s="17" t="s">
        <v>23</v>
      </c>
      <c r="B36" s="23"/>
      <c r="C36" s="99">
        <v>35</v>
      </c>
      <c r="D36" s="100">
        <f>0.006093*100</f>
        <v>0.6093000000000001</v>
      </c>
      <c r="E36" s="100">
        <f>0.34612172*100</f>
        <v>34.612172</v>
      </c>
      <c r="F36" s="100">
        <f>0.35313009*100</f>
        <v>35.313009</v>
      </c>
    </row>
    <row r="37" spans="1:6" s="39" customFormat="1" ht="11.25">
      <c r="A37" s="19" t="s">
        <v>25</v>
      </c>
      <c r="B37" s="24"/>
      <c r="C37" s="98"/>
      <c r="D37" s="100"/>
      <c r="E37" s="100"/>
      <c r="F37" s="100"/>
    </row>
    <row r="38" spans="1:6" s="39" customFormat="1" ht="11.25">
      <c r="A38" s="17" t="s">
        <v>22</v>
      </c>
      <c r="B38" s="23"/>
      <c r="C38" s="99">
        <v>64.5</v>
      </c>
      <c r="D38" s="100">
        <f>0.003141*100</f>
        <v>0.3141</v>
      </c>
      <c r="E38" s="100">
        <f>0.64124885*100</f>
        <v>64.12488499999999</v>
      </c>
      <c r="F38" s="100">
        <f>0.64790886*100</f>
        <v>64.790886</v>
      </c>
    </row>
    <row r="39" spans="1:6" s="39" customFormat="1" ht="11.25">
      <c r="A39" s="17" t="s">
        <v>23</v>
      </c>
      <c r="B39" s="23"/>
      <c r="C39" s="99">
        <v>35.5</v>
      </c>
      <c r="D39" s="100">
        <f>0.005696*100</f>
        <v>0.5696</v>
      </c>
      <c r="E39" s="100">
        <f>0.35209114*100</f>
        <v>35.209114</v>
      </c>
      <c r="F39" s="100">
        <f>0.35875115*100</f>
        <v>35.875115</v>
      </c>
    </row>
    <row r="40" spans="1:6" s="39" customFormat="1" ht="11.25">
      <c r="A40" s="17"/>
      <c r="B40" s="23"/>
      <c r="C40" s="99"/>
      <c r="D40" s="100"/>
      <c r="E40" s="100"/>
      <c r="F40" s="100"/>
    </row>
    <row r="41" spans="1:6" s="39" customFormat="1" ht="11.25">
      <c r="A41" s="19" t="s">
        <v>26</v>
      </c>
      <c r="B41" s="23"/>
      <c r="C41" s="99">
        <v>50.946876361890716</v>
      </c>
      <c r="D41" s="100">
        <f>0.004161*100</f>
        <v>0.41609999999999997</v>
      </c>
      <c r="E41" s="100">
        <f>0.50576133*100</f>
        <v>50.576133</v>
      </c>
      <c r="F41" s="100">
        <f>0.51273293*100</f>
        <v>51.273292999999995</v>
      </c>
    </row>
    <row r="42" spans="1:6" s="39" customFormat="1" ht="11.25">
      <c r="A42" s="19"/>
      <c r="B42" s="23"/>
      <c r="C42" s="99"/>
      <c r="D42" s="100"/>
      <c r="E42" s="100"/>
      <c r="F42" s="100"/>
    </row>
    <row r="43" spans="1:6" s="39" customFormat="1" ht="11.25">
      <c r="A43" s="21" t="s">
        <v>27</v>
      </c>
      <c r="B43" s="22"/>
      <c r="C43" s="102"/>
      <c r="D43" s="100"/>
      <c r="E43" s="100"/>
      <c r="F43" s="100"/>
    </row>
    <row r="44" spans="1:6" s="39" customFormat="1" ht="11.25">
      <c r="A44" s="19" t="s">
        <v>96</v>
      </c>
      <c r="B44" s="23"/>
      <c r="C44" s="99">
        <v>8.569650435479378</v>
      </c>
      <c r="D44" s="100">
        <f>0.014752*100</f>
        <v>1.4751999999999998</v>
      </c>
      <c r="E44" s="100">
        <f>0.08361701*100</f>
        <v>8.361701</v>
      </c>
      <c r="F44" s="100">
        <f>0.087776*100</f>
        <v>8.777600000000001</v>
      </c>
    </row>
    <row r="45" spans="1:6" s="39" customFormat="1" ht="22.5">
      <c r="A45" s="19" t="s">
        <v>97</v>
      </c>
      <c r="B45" s="23"/>
      <c r="C45" s="99">
        <v>14.179011557290403</v>
      </c>
      <c r="D45" s="100">
        <f>0.011972*100</f>
        <v>1.1972</v>
      </c>
      <c r="E45" s="100">
        <f>0.13899795*100</f>
        <v>13.899795000000001</v>
      </c>
      <c r="F45" s="100">
        <f>0.14458228*100</f>
        <v>14.458228</v>
      </c>
    </row>
    <row r="46" spans="1:6" s="39" customFormat="1" ht="11.25">
      <c r="A46" s="28"/>
      <c r="B46" s="23"/>
      <c r="C46" s="99"/>
      <c r="D46" s="100"/>
      <c r="E46" s="100"/>
      <c r="F46" s="100"/>
    </row>
    <row r="47" spans="1:6" s="39" customFormat="1" ht="11.25">
      <c r="A47" s="21" t="s">
        <v>98</v>
      </c>
      <c r="B47" s="22"/>
      <c r="C47" s="102"/>
      <c r="D47" s="100"/>
      <c r="E47" s="100"/>
      <c r="F47" s="100"/>
    </row>
    <row r="48" spans="1:6" s="39" customFormat="1" ht="11.25">
      <c r="A48" s="29" t="s">
        <v>28</v>
      </c>
      <c r="B48" s="23"/>
      <c r="C48" s="99">
        <v>66.8</v>
      </c>
      <c r="D48" s="100">
        <f>0.003144*100</f>
        <v>0.3144</v>
      </c>
      <c r="E48" s="100">
        <f>0.66388374*100</f>
        <v>66.388374</v>
      </c>
      <c r="F48" s="100">
        <f>0.67078545*100</f>
        <v>67.078545</v>
      </c>
    </row>
    <row r="49" spans="1:6" s="39" customFormat="1" ht="11.25">
      <c r="A49" s="29" t="s">
        <v>29</v>
      </c>
      <c r="B49" s="23"/>
      <c r="C49" s="99">
        <v>6.2</v>
      </c>
      <c r="D49" s="100">
        <f>0.018166*100</f>
        <v>1.8166000000000002</v>
      </c>
      <c r="E49" s="100">
        <f>0.06012077*100</f>
        <v>6.012077</v>
      </c>
      <c r="F49" s="100">
        <f>0.06382439*100</f>
        <v>6.382439</v>
      </c>
    </row>
    <row r="50" spans="1:6" s="39" customFormat="1" ht="11.25">
      <c r="A50" s="29" t="s">
        <v>30</v>
      </c>
      <c r="B50" s="23"/>
      <c r="C50" s="99">
        <v>15.5</v>
      </c>
      <c r="D50" s="100">
        <f>0.010274*100</f>
        <v>1.0274</v>
      </c>
      <c r="E50" s="100">
        <f>0.15244298*100</f>
        <v>15.244298</v>
      </c>
      <c r="F50" s="100">
        <f>0.15768406*100</f>
        <v>15.768405999999999</v>
      </c>
    </row>
    <row r="51" spans="1:6" s="39" customFormat="1" ht="11.25">
      <c r="A51" s="29" t="s">
        <v>31</v>
      </c>
      <c r="B51" s="23"/>
      <c r="C51" s="99">
        <v>9.8</v>
      </c>
      <c r="D51" s="100">
        <f>0.013515*100</f>
        <v>1.3515</v>
      </c>
      <c r="E51" s="100">
        <f>0.09570304*100</f>
        <v>9.570304</v>
      </c>
      <c r="F51" s="100">
        <f>0.10005471*100</f>
        <v>10.005471</v>
      </c>
    </row>
    <row r="52" spans="1:6" s="39" customFormat="1" ht="11.25">
      <c r="A52" s="29" t="s">
        <v>32</v>
      </c>
      <c r="B52" s="23"/>
      <c r="C52" s="99">
        <v>1.7</v>
      </c>
      <c r="D52" s="100">
        <f>0.032777*100</f>
        <v>3.2777000000000003</v>
      </c>
      <c r="E52" s="100">
        <f>0.01630001*100</f>
        <v>1.630001</v>
      </c>
      <c r="F52" s="100">
        <f>0.01815774*100</f>
        <v>1.8157739999999998</v>
      </c>
    </row>
    <row r="53" spans="1:6" s="39" customFormat="1" ht="11.25">
      <c r="A53" s="21" t="s">
        <v>41</v>
      </c>
      <c r="B53" s="22"/>
      <c r="C53" s="102"/>
      <c r="D53" s="100"/>
      <c r="E53" s="100"/>
      <c r="F53" s="100"/>
    </row>
    <row r="54" spans="1:6" s="39" customFormat="1" ht="11.25">
      <c r="A54" s="43" t="s">
        <v>42</v>
      </c>
      <c r="B54" s="23"/>
      <c r="C54" s="99"/>
      <c r="D54" s="100"/>
      <c r="E54" s="100"/>
      <c r="F54" s="100"/>
    </row>
    <row r="55" spans="1:6" s="39" customFormat="1" ht="11.25">
      <c r="A55" s="44" t="s">
        <v>43</v>
      </c>
      <c r="B55" s="23"/>
      <c r="C55" s="99">
        <v>68.1</v>
      </c>
      <c r="D55" s="100">
        <f>0.003009*100</f>
        <v>0.3009</v>
      </c>
      <c r="E55" s="100">
        <f>0.67779039*100</f>
        <v>67.779039</v>
      </c>
      <c r="F55" s="100">
        <f>0.68453371*100</f>
        <v>68.45337099999999</v>
      </c>
    </row>
    <row r="56" spans="1:6" s="39" customFormat="1" ht="11.25">
      <c r="A56" s="44" t="s">
        <v>44</v>
      </c>
      <c r="B56" s="23"/>
      <c r="C56" s="99">
        <v>31.7</v>
      </c>
      <c r="D56" s="100">
        <f>0.006451*100</f>
        <v>0.6451</v>
      </c>
      <c r="E56" s="100">
        <f>0.31391461*100</f>
        <v>31.391461</v>
      </c>
      <c r="F56" s="100">
        <f>0.32064758*100</f>
        <v>32.064758</v>
      </c>
    </row>
    <row r="57" spans="1:6" s="39" customFormat="1" ht="11.25">
      <c r="A57" s="44" t="s">
        <v>45</v>
      </c>
      <c r="B57" s="23"/>
      <c r="C57" s="99">
        <v>0.2</v>
      </c>
      <c r="D57" s="100">
        <f>0.119119*100</f>
        <v>11.911900000000001</v>
      </c>
      <c r="E57" s="100">
        <f>0.00125181*100</f>
        <v>0.125181</v>
      </c>
      <c r="F57" s="100">
        <f>0.00186189*100</f>
        <v>0.186189</v>
      </c>
    </row>
    <row r="58" spans="1:6" s="39" customFormat="1" ht="11.25">
      <c r="A58" s="45" t="s">
        <v>46</v>
      </c>
      <c r="B58" s="23"/>
      <c r="C58" s="99"/>
      <c r="D58" s="100"/>
      <c r="E58" s="100"/>
      <c r="F58" s="100"/>
    </row>
    <row r="59" spans="1:6" s="39" customFormat="1" ht="11.25">
      <c r="A59" s="24" t="s">
        <v>47</v>
      </c>
      <c r="B59" s="23"/>
      <c r="C59" s="99"/>
      <c r="D59" s="100"/>
      <c r="E59" s="100"/>
      <c r="F59" s="100"/>
    </row>
    <row r="60" spans="1:6" s="39" customFormat="1" ht="11.25">
      <c r="A60" s="44" t="s">
        <v>48</v>
      </c>
      <c r="B60" s="23"/>
      <c r="C60" s="99">
        <v>69.7</v>
      </c>
      <c r="D60" s="100">
        <f>0.00402*100</f>
        <v>0.402</v>
      </c>
      <c r="E60" s="100">
        <f>0.69132701*100</f>
        <v>69.132701</v>
      </c>
      <c r="F60" s="100">
        <f>0.70053106*100</f>
        <v>70.053106</v>
      </c>
    </row>
    <row r="61" spans="1:6" s="39" customFormat="1" ht="11.25">
      <c r="A61" s="44" t="s">
        <v>49</v>
      </c>
      <c r="B61" s="23"/>
      <c r="C61" s="99">
        <v>30.2</v>
      </c>
      <c r="D61" s="100">
        <f>0.009226*100</f>
        <v>0.9226</v>
      </c>
      <c r="E61" s="100">
        <f>0.29818823*100</f>
        <v>29.818823</v>
      </c>
      <c r="F61" s="100">
        <f>0.3073784*100</f>
        <v>30.73784</v>
      </c>
    </row>
    <row r="62" spans="1:6" s="39" customFormat="1" ht="11.25">
      <c r="A62" s="24" t="s">
        <v>50</v>
      </c>
      <c r="B62" s="23"/>
      <c r="C62" s="99">
        <v>0.1</v>
      </c>
      <c r="D62" s="100">
        <f>0.184466*100</f>
        <v>18.4466</v>
      </c>
      <c r="E62" s="100">
        <f>0.00089695*100</f>
        <v>0.089695</v>
      </c>
      <c r="F62" s="100">
        <f>0.00167835*100</f>
        <v>0.16783499999999998</v>
      </c>
    </row>
    <row r="63" spans="1:6" s="39" customFormat="1" ht="11.25">
      <c r="A63" s="24" t="s">
        <v>51</v>
      </c>
      <c r="B63" s="23"/>
      <c r="C63" s="99"/>
      <c r="D63" s="100"/>
      <c r="E63" s="100"/>
      <c r="F63" s="100"/>
    </row>
    <row r="64" spans="1:6" s="39" customFormat="1" ht="11.25">
      <c r="A64" s="44" t="s">
        <v>48</v>
      </c>
      <c r="B64" s="23"/>
      <c r="C64" s="99">
        <v>66.5</v>
      </c>
      <c r="D64" s="100">
        <f>0.004516*100</f>
        <v>0.4516</v>
      </c>
      <c r="E64" s="100">
        <f>0.66023001*100</f>
        <v>66.02300100000001</v>
      </c>
      <c r="F64" s="100">
        <f>0.67011178*100</f>
        <v>67.011178</v>
      </c>
    </row>
    <row r="65" spans="1:6" s="39" customFormat="1" ht="11.25">
      <c r="A65" s="44" t="s">
        <v>49</v>
      </c>
      <c r="B65" s="23"/>
      <c r="C65" s="99">
        <v>33.3</v>
      </c>
      <c r="D65" s="100">
        <f>0.009007*100</f>
        <v>0.9007</v>
      </c>
      <c r="E65" s="100">
        <f>0.32804735*100</f>
        <v>32.804735</v>
      </c>
      <c r="F65" s="100">
        <f>0.33791411*100</f>
        <v>33.791411</v>
      </c>
    </row>
    <row r="66" spans="1:6" s="39" customFormat="1" ht="11.25">
      <c r="A66" s="24" t="s">
        <v>50</v>
      </c>
      <c r="B66" s="23"/>
      <c r="C66" s="99">
        <v>0.2</v>
      </c>
      <c r="D66" s="100">
        <f>0.155909*100</f>
        <v>15.5909</v>
      </c>
      <c r="E66" s="100">
        <f>0.00137435*100</f>
        <v>0.137435</v>
      </c>
      <c r="F66" s="100">
        <f>0.00232239*100</f>
        <v>0.232239</v>
      </c>
    </row>
    <row r="67" spans="1:6" s="39" customFormat="1" ht="11.25">
      <c r="A67" s="45" t="s">
        <v>52</v>
      </c>
      <c r="B67" s="23"/>
      <c r="C67" s="99"/>
      <c r="D67" s="103"/>
      <c r="E67" s="103"/>
      <c r="F67" s="103"/>
    </row>
    <row r="68" spans="1:6" s="39" customFormat="1" ht="11.25">
      <c r="A68" s="24" t="s">
        <v>53</v>
      </c>
      <c r="B68" s="23"/>
      <c r="C68" s="99"/>
      <c r="D68" s="103"/>
      <c r="E68" s="103"/>
      <c r="F68" s="103"/>
    </row>
    <row r="69" spans="1:6" s="39" customFormat="1" ht="11.25">
      <c r="A69" s="44" t="s">
        <v>48</v>
      </c>
      <c r="B69" s="23"/>
      <c r="C69" s="99">
        <v>58</v>
      </c>
      <c r="D69" s="104">
        <f>100*0.007163</f>
        <v>0.7163</v>
      </c>
      <c r="E69" s="55">
        <f>100*0.57328398</f>
        <v>57.328398</v>
      </c>
      <c r="F69" s="55">
        <f>100*0.58695439</f>
        <v>58.69543900000001</v>
      </c>
    </row>
    <row r="70" spans="1:6" s="39" customFormat="1" ht="11.25">
      <c r="A70" s="44" t="s">
        <v>49</v>
      </c>
      <c r="B70" s="23"/>
      <c r="C70" s="99">
        <v>41.8</v>
      </c>
      <c r="D70" s="104">
        <f>100*0.009932</f>
        <v>0.9932</v>
      </c>
      <c r="E70" s="55">
        <f>100*0.41129379</f>
        <v>41.129379</v>
      </c>
      <c r="F70" s="55">
        <f>100*0.42495596</f>
        <v>42.495596</v>
      </c>
    </row>
    <row r="71" spans="1:6" s="39" customFormat="1" ht="11.25">
      <c r="A71" s="24" t="s">
        <v>50</v>
      </c>
      <c r="B71" s="23"/>
      <c r="C71" s="99">
        <v>0.2</v>
      </c>
      <c r="D71" s="104">
        <f>100*0.206198</f>
        <v>20.619799999999998</v>
      </c>
      <c r="E71" s="55">
        <f>100*0.00116037</f>
        <v>0.116037</v>
      </c>
      <c r="F71" s="55">
        <f>100*0.00235151</f>
        <v>0.23515099999999997</v>
      </c>
    </row>
    <row r="72" spans="1:6" s="39" customFormat="1" ht="11.25">
      <c r="A72" s="24" t="s">
        <v>54</v>
      </c>
      <c r="B72" s="23"/>
      <c r="C72" s="99"/>
      <c r="D72" s="103"/>
      <c r="E72" s="103"/>
      <c r="F72" s="103"/>
    </row>
    <row r="73" spans="1:6" s="39" customFormat="1" ht="11.25">
      <c r="A73" s="44" t="s">
        <v>48</v>
      </c>
      <c r="B73" s="23"/>
      <c r="C73" s="99">
        <v>66.5</v>
      </c>
      <c r="D73" s="104">
        <f>100*0.004015</f>
        <v>0.4015</v>
      </c>
      <c r="E73" s="55">
        <f>100*0.66117484</f>
        <v>66.117484</v>
      </c>
      <c r="F73" s="55">
        <f>100*0.66996587</f>
        <v>66.99658699999999</v>
      </c>
    </row>
    <row r="74" spans="1:6" s="39" customFormat="1" ht="11.25">
      <c r="A74" s="44" t="s">
        <v>49</v>
      </c>
      <c r="B74" s="23"/>
      <c r="C74" s="99">
        <v>33.3</v>
      </c>
      <c r="D74" s="104">
        <f>100*0.008019</f>
        <v>0.8019000000000001</v>
      </c>
      <c r="E74" s="55">
        <f>100*0.32829379</f>
        <v>32.829378999999996</v>
      </c>
      <c r="F74" s="55">
        <f>100*0.33707035</f>
        <v>33.707035000000005</v>
      </c>
    </row>
    <row r="75" spans="1:6" s="39" customFormat="1" ht="11.25">
      <c r="A75" s="24" t="s">
        <v>50</v>
      </c>
      <c r="B75" s="23"/>
      <c r="C75" s="99">
        <v>0.2</v>
      </c>
      <c r="D75" s="104">
        <f>100*0.206198</f>
        <v>20.619799999999998</v>
      </c>
      <c r="E75" s="55">
        <f>100*0.00116037</f>
        <v>0.116037</v>
      </c>
      <c r="F75" s="55">
        <f>100*0.00235151</f>
        <v>0.23515099999999997</v>
      </c>
    </row>
    <row r="76" spans="1:6" s="39" customFormat="1" ht="11.25">
      <c r="A76" s="24" t="s">
        <v>55</v>
      </c>
      <c r="B76" s="23"/>
      <c r="C76" s="99"/>
      <c r="D76" s="103"/>
      <c r="E76" s="103"/>
      <c r="F76" s="103"/>
    </row>
    <row r="77" spans="1:6" s="39" customFormat="1" ht="11.25">
      <c r="A77" s="44" t="s">
        <v>48</v>
      </c>
      <c r="B77" s="23"/>
      <c r="C77" s="99">
        <v>97.3</v>
      </c>
      <c r="D77" s="104">
        <f>100*0.002522</f>
        <v>0.2522</v>
      </c>
      <c r="E77" s="55">
        <f>100*0.96421647</f>
        <v>96.421647</v>
      </c>
      <c r="F77" s="55">
        <f>100*0.9722502</f>
        <v>97.22502</v>
      </c>
    </row>
    <row r="78" spans="1:6" s="39" customFormat="1" ht="11.25">
      <c r="A78" s="44" t="s">
        <v>49</v>
      </c>
      <c r="B78" s="23"/>
      <c r="C78" s="99">
        <v>2.7</v>
      </c>
      <c r="D78" s="104">
        <f>100*0.077209</f>
        <v>7.7209</v>
      </c>
      <c r="E78" s="55">
        <f>100*0.02752055</f>
        <v>2.752055</v>
      </c>
      <c r="F78" s="55">
        <f>100*0.03552807</f>
        <v>3.552807</v>
      </c>
    </row>
    <row r="79" spans="1:6" s="39" customFormat="1" ht="11.25">
      <c r="A79" s="24" t="s">
        <v>50</v>
      </c>
      <c r="B79" s="23"/>
      <c r="C79" s="99">
        <v>0</v>
      </c>
      <c r="D79" s="104">
        <f>100*0.845343</f>
        <v>84.5343</v>
      </c>
      <c r="E79" s="55">
        <f>100*0</f>
        <v>0</v>
      </c>
      <c r="F79" s="55">
        <f>100*0.00057936</f>
        <v>0.057936</v>
      </c>
    </row>
    <row r="80" spans="1:6" s="39" customFormat="1" ht="11.25">
      <c r="A80" s="24"/>
      <c r="B80" s="23"/>
      <c r="C80" s="99"/>
      <c r="D80" s="95"/>
      <c r="E80" s="95"/>
      <c r="F80" s="95"/>
    </row>
    <row r="81" spans="1:6" s="39" customFormat="1" ht="11.25">
      <c r="A81" s="21" t="s">
        <v>136</v>
      </c>
      <c r="B81" s="22"/>
      <c r="C81" s="102"/>
      <c r="D81" s="95"/>
      <c r="E81" s="95"/>
      <c r="F81" s="95"/>
    </row>
    <row r="82" spans="1:6" s="39" customFormat="1" ht="11.25">
      <c r="A82" s="25" t="s">
        <v>108</v>
      </c>
      <c r="B82" s="24"/>
      <c r="C82" s="98"/>
      <c r="D82" s="95"/>
      <c r="E82" s="95"/>
      <c r="F82" s="95"/>
    </row>
    <row r="83" spans="1:6" s="39" customFormat="1" ht="11.25">
      <c r="A83" s="29" t="s">
        <v>35</v>
      </c>
      <c r="B83" s="23"/>
      <c r="C83" s="98">
        <v>7.2</v>
      </c>
      <c r="D83" s="100">
        <v>3.4320999999999997</v>
      </c>
      <c r="E83" s="100">
        <v>6.781389</v>
      </c>
      <c r="F83" s="100">
        <v>7.59289</v>
      </c>
    </row>
    <row r="84" spans="1:6" s="39" customFormat="1" ht="11.25">
      <c r="A84" s="29" t="s">
        <v>36</v>
      </c>
      <c r="B84" s="23"/>
      <c r="C84" s="98">
        <v>43.8</v>
      </c>
      <c r="D84" s="100">
        <v>1.0813</v>
      </c>
      <c r="E84" s="100">
        <v>42.956129999999995</v>
      </c>
      <c r="F84" s="100">
        <v>44.511894000000005</v>
      </c>
    </row>
    <row r="85" spans="1:6" s="39" customFormat="1" ht="11.25">
      <c r="A85" s="29" t="s">
        <v>37</v>
      </c>
      <c r="B85" s="23"/>
      <c r="C85" s="98">
        <v>32.8</v>
      </c>
      <c r="D85" s="100">
        <v>1.3542</v>
      </c>
      <c r="E85" s="100">
        <v>32.105461000000005</v>
      </c>
      <c r="F85" s="100">
        <v>33.568338</v>
      </c>
    </row>
    <row r="86" spans="1:6" s="39" customFormat="1" ht="11.25">
      <c r="A86" s="29" t="s">
        <v>38</v>
      </c>
      <c r="B86" s="23"/>
      <c r="C86" s="98">
        <v>9.8</v>
      </c>
      <c r="D86" s="100">
        <v>2.7899</v>
      </c>
      <c r="E86" s="100">
        <v>9.427402</v>
      </c>
      <c r="F86" s="100">
        <v>10.334280999999999</v>
      </c>
    </row>
    <row r="87" spans="1:6" s="39" customFormat="1" ht="11.25">
      <c r="A87" s="29" t="s">
        <v>39</v>
      </c>
      <c r="B87" s="23"/>
      <c r="C87" s="98">
        <v>6.4</v>
      </c>
      <c r="D87" s="100">
        <v>3.6311999999999998</v>
      </c>
      <c r="E87" s="100">
        <v>5.981154</v>
      </c>
      <c r="F87" s="100">
        <v>6.74106</v>
      </c>
    </row>
    <row r="88" spans="1:6" s="39" customFormat="1" ht="22.5">
      <c r="A88" s="19" t="s">
        <v>56</v>
      </c>
      <c r="B88" s="24"/>
      <c r="C88" s="98"/>
      <c r="D88" s="100"/>
      <c r="E88" s="100"/>
      <c r="F88" s="100"/>
    </row>
    <row r="89" spans="1:6" s="39" customFormat="1" ht="11.25">
      <c r="A89" s="24" t="s">
        <v>57</v>
      </c>
      <c r="B89" s="23"/>
      <c r="C89" s="98">
        <v>96.1</v>
      </c>
      <c r="D89" s="104">
        <f>100*0.002</f>
        <v>0.2</v>
      </c>
      <c r="E89" s="104">
        <f>100*0.9578067</f>
        <v>95.78067</v>
      </c>
      <c r="F89" s="104">
        <f>100*0.96412965</f>
        <v>96.412965</v>
      </c>
    </row>
    <row r="90" spans="1:6" s="39" customFormat="1" ht="11.25">
      <c r="A90" s="24" t="s">
        <v>58</v>
      </c>
      <c r="B90" s="23"/>
      <c r="C90" s="98">
        <v>3.9</v>
      </c>
      <c r="D90" s="104">
        <f>100*0.049241</f>
        <v>4.9241</v>
      </c>
      <c r="E90" s="55">
        <f>100*0.03587035</f>
        <v>3.587035</v>
      </c>
      <c r="F90" s="55">
        <f>100*0.0421933</f>
        <v>4.21933</v>
      </c>
    </row>
    <row r="91" spans="1:6" s="39" customFormat="1" ht="11.25">
      <c r="A91" s="45" t="s">
        <v>52</v>
      </c>
      <c r="B91" s="24"/>
      <c r="C91" s="98"/>
      <c r="D91" s="100"/>
      <c r="E91" s="100"/>
      <c r="F91" s="100"/>
    </row>
    <row r="92" spans="1:6" s="39" customFormat="1" ht="11.25">
      <c r="A92" s="24" t="s">
        <v>59</v>
      </c>
      <c r="B92" s="23"/>
      <c r="C92" s="98"/>
      <c r="D92" s="100"/>
      <c r="E92" s="100"/>
      <c r="F92" s="100"/>
    </row>
    <row r="93" spans="1:6" s="39" customFormat="1" ht="11.25">
      <c r="A93" s="24" t="s">
        <v>57</v>
      </c>
      <c r="B93" s="23"/>
      <c r="C93" s="98">
        <v>86.2</v>
      </c>
      <c r="D93" s="105">
        <v>1.4138</v>
      </c>
      <c r="E93" s="105">
        <v>84.154019</v>
      </c>
      <c r="F93" s="105">
        <v>88.163198</v>
      </c>
    </row>
    <row r="94" spans="1:6" s="39" customFormat="1" ht="11.25">
      <c r="A94" s="24" t="s">
        <v>58</v>
      </c>
      <c r="B94" s="23"/>
      <c r="C94" s="98">
        <v>13.8</v>
      </c>
      <c r="D94" s="105">
        <v>8.8002</v>
      </c>
      <c r="E94" s="105">
        <v>11.836802</v>
      </c>
      <c r="F94" s="105">
        <v>15.845981</v>
      </c>
    </row>
    <row r="95" spans="1:6" s="39" customFormat="1" ht="11.25">
      <c r="A95" s="24" t="s">
        <v>60</v>
      </c>
      <c r="B95" s="23"/>
      <c r="C95" s="98"/>
      <c r="D95" s="106"/>
      <c r="E95" s="106"/>
      <c r="F95" s="106"/>
    </row>
    <row r="96" spans="1:6" s="39" customFormat="1" ht="11.25">
      <c r="A96" s="24" t="s">
        <v>57</v>
      </c>
      <c r="B96" s="23"/>
      <c r="C96" s="98">
        <v>98.8</v>
      </c>
      <c r="D96" s="104">
        <f>100*0.001268</f>
        <v>0.1268</v>
      </c>
      <c r="E96" s="104">
        <f>100*0.98598115</f>
        <v>98.59811499999999</v>
      </c>
      <c r="F96" s="104">
        <f>100*0.99010294</f>
        <v>99.010294</v>
      </c>
    </row>
    <row r="97" spans="1:6" s="39" customFormat="1" ht="11.25">
      <c r="A97" s="24" t="s">
        <v>58</v>
      </c>
      <c r="B97" s="23"/>
      <c r="C97" s="98">
        <v>1.2</v>
      </c>
      <c r="D97" s="104">
        <f>100*0.104773</f>
        <v>10.4773</v>
      </c>
      <c r="E97" s="104">
        <f>100*0.00989706</f>
        <v>0.989706</v>
      </c>
      <c r="F97" s="104">
        <f>100*0.01401885</f>
        <v>1.401885</v>
      </c>
    </row>
    <row r="98" spans="1:6" s="39" customFormat="1" ht="11.25">
      <c r="A98" s="24" t="s">
        <v>61</v>
      </c>
      <c r="B98" s="23"/>
      <c r="C98" s="98"/>
      <c r="D98" s="107"/>
      <c r="E98" s="107"/>
      <c r="F98" s="107"/>
    </row>
    <row r="99" spans="1:6" s="39" customFormat="1" ht="11.25">
      <c r="A99" s="24" t="s">
        <v>57</v>
      </c>
      <c r="B99" s="23"/>
      <c r="C99" s="98">
        <v>90.9</v>
      </c>
      <c r="D99" s="104">
        <f>100*0.006799</f>
        <v>0.6799000000000001</v>
      </c>
      <c r="E99" s="104">
        <f>100*0.8985603</f>
        <v>89.85603</v>
      </c>
      <c r="F99" s="104">
        <f>100*0.91888748</f>
        <v>91.88874799999999</v>
      </c>
    </row>
    <row r="100" spans="1:6" s="39" customFormat="1" ht="11.25">
      <c r="A100" s="24" t="s">
        <v>58</v>
      </c>
      <c r="B100" s="23"/>
      <c r="C100" s="98">
        <v>9.1</v>
      </c>
      <c r="D100" s="104">
        <f>100*0.067686</f>
        <v>6.768599999999999</v>
      </c>
      <c r="E100" s="104">
        <f>100*0.08111252</f>
        <v>8.111251999999999</v>
      </c>
      <c r="F100" s="104">
        <f>100*0.1014397</f>
        <v>10.14397</v>
      </c>
    </row>
    <row r="101" spans="1:6" s="39" customFormat="1" ht="11.25">
      <c r="A101" s="43" t="s">
        <v>62</v>
      </c>
      <c r="B101" s="24"/>
      <c r="C101" s="98"/>
      <c r="D101" s="100"/>
      <c r="E101" s="100"/>
      <c r="F101" s="100"/>
    </row>
    <row r="102" spans="1:6" s="39" customFormat="1" ht="11.25">
      <c r="A102" s="29" t="s">
        <v>35</v>
      </c>
      <c r="B102" s="24"/>
      <c r="C102" s="98"/>
      <c r="D102" s="100"/>
      <c r="E102" s="100"/>
      <c r="F102" s="100"/>
    </row>
    <row r="103" spans="1:6" s="39" customFormat="1" ht="11.25">
      <c r="A103" s="24" t="s">
        <v>57</v>
      </c>
      <c r="B103" s="23"/>
      <c r="C103" s="98">
        <v>88.8</v>
      </c>
      <c r="D103" s="104">
        <f>100*0.013004</f>
        <v>1.3004</v>
      </c>
      <c r="E103" s="104">
        <f>100*0.86919642</f>
        <v>86.919642</v>
      </c>
      <c r="F103" s="104">
        <f>100*0.90721409</f>
        <v>90.721409</v>
      </c>
    </row>
    <row r="104" spans="1:6" s="39" customFormat="1" ht="11.25">
      <c r="A104" s="24" t="s">
        <v>58</v>
      </c>
      <c r="B104" s="23"/>
      <c r="C104" s="98">
        <v>11.2</v>
      </c>
      <c r="D104" s="104">
        <f>100*0.103318</f>
        <v>10.3318</v>
      </c>
      <c r="E104" s="104">
        <f>100*0.09278591</f>
        <v>9.278591</v>
      </c>
      <c r="F104" s="104">
        <f>100*0.13080358</f>
        <v>13.080358</v>
      </c>
    </row>
    <row r="105" spans="1:6" s="39" customFormat="1" ht="11.25">
      <c r="A105" s="29" t="s">
        <v>36</v>
      </c>
      <c r="B105" s="18"/>
      <c r="C105" s="98"/>
      <c r="D105" s="107"/>
      <c r="E105" s="107"/>
      <c r="F105" s="107"/>
    </row>
    <row r="106" spans="1:6" s="39" customFormat="1" ht="11.25">
      <c r="A106" s="24" t="s">
        <v>57</v>
      </c>
      <c r="B106" s="18"/>
      <c r="C106" s="98">
        <v>95.2</v>
      </c>
      <c r="D106" s="108">
        <v>0.3852</v>
      </c>
      <c r="E106" s="108">
        <v>92.260987</v>
      </c>
      <c r="F106" s="108">
        <v>96.450376</v>
      </c>
    </row>
    <row r="107" spans="1:6" s="39" customFormat="1" ht="11.25">
      <c r="A107" s="24" t="s">
        <v>58</v>
      </c>
      <c r="B107" s="18"/>
      <c r="C107" s="98">
        <v>4.8</v>
      </c>
      <c r="D107" s="108">
        <v>5.8838</v>
      </c>
      <c r="E107" s="108">
        <v>3.549624</v>
      </c>
      <c r="F107" s="108">
        <v>6.739013000000001</v>
      </c>
    </row>
    <row r="108" spans="1:6" s="39" customFormat="1" ht="11.25">
      <c r="A108" s="29" t="s">
        <v>37</v>
      </c>
      <c r="B108" s="18"/>
      <c r="C108" s="98"/>
      <c r="D108" s="109"/>
      <c r="E108" s="109"/>
      <c r="F108" s="109"/>
    </row>
    <row r="109" spans="1:6" s="39" customFormat="1" ht="11.25">
      <c r="A109" s="24" t="s">
        <v>57</v>
      </c>
      <c r="B109" s="18"/>
      <c r="C109" s="98">
        <v>98.1</v>
      </c>
      <c r="D109" s="108">
        <v>0.49269999999999997</v>
      </c>
      <c r="E109" s="108">
        <v>93.449883</v>
      </c>
      <c r="F109" s="108">
        <v>98.944428</v>
      </c>
    </row>
    <row r="110" spans="1:6" s="39" customFormat="1" ht="11.25">
      <c r="A110" s="24" t="s">
        <v>58</v>
      </c>
      <c r="B110" s="18"/>
      <c r="C110" s="98">
        <v>1.9</v>
      </c>
      <c r="D110" s="108">
        <v>5.8218</v>
      </c>
      <c r="E110" s="108">
        <v>1.055572</v>
      </c>
      <c r="F110" s="108">
        <v>6.550117</v>
      </c>
    </row>
    <row r="111" spans="1:6" s="39" customFormat="1" ht="11.25">
      <c r="A111" s="29" t="s">
        <v>38</v>
      </c>
      <c r="B111" s="18"/>
      <c r="C111" s="98"/>
      <c r="D111" s="107"/>
      <c r="E111" s="107"/>
      <c r="F111" s="107"/>
    </row>
    <row r="112" spans="1:6" s="39" customFormat="1" ht="11.25">
      <c r="A112" s="24" t="s">
        <v>57</v>
      </c>
      <c r="B112" s="18"/>
      <c r="C112" s="98">
        <v>97.8</v>
      </c>
      <c r="D112" s="104">
        <f>100*0.004478</f>
        <v>0.44780000000000003</v>
      </c>
      <c r="E112" s="104">
        <f>100*0.970841</f>
        <v>97.08409999999999</v>
      </c>
      <c r="F112" s="104">
        <f>100*0.98525502</f>
        <v>98.525502</v>
      </c>
    </row>
    <row r="113" spans="1:6" s="39" customFormat="1" ht="11.25">
      <c r="A113" s="24" t="s">
        <v>58</v>
      </c>
      <c r="B113" s="31"/>
      <c r="C113" s="110" t="s">
        <v>89</v>
      </c>
      <c r="D113" s="111"/>
      <c r="E113" s="111"/>
      <c r="F113" s="111"/>
    </row>
    <row r="114" spans="1:6" s="39" customFormat="1" ht="11.25">
      <c r="A114" s="29" t="s">
        <v>39</v>
      </c>
      <c r="B114" s="18"/>
      <c r="C114" s="98"/>
      <c r="D114" s="107"/>
      <c r="E114" s="107"/>
      <c r="F114" s="107"/>
    </row>
    <row r="115" spans="1:6" s="39" customFormat="1" ht="11.25">
      <c r="A115" s="24" t="s">
        <v>57</v>
      </c>
      <c r="B115" s="18"/>
      <c r="C115" s="98">
        <v>97.5</v>
      </c>
      <c r="D115" s="104">
        <f>100*0.005815</f>
        <v>0.5815</v>
      </c>
      <c r="E115" s="104">
        <f>100*0.96559205</f>
        <v>96.559205</v>
      </c>
      <c r="F115" s="104">
        <f>100*0.98425113</f>
        <v>98.425113</v>
      </c>
    </row>
    <row r="116" spans="1:6" s="39" customFormat="1" ht="11.25">
      <c r="A116" s="24" t="s">
        <v>58</v>
      </c>
      <c r="B116" s="31"/>
      <c r="C116" s="110" t="s">
        <v>89</v>
      </c>
      <c r="D116" s="111"/>
      <c r="E116" s="111"/>
      <c r="F116" s="111"/>
    </row>
    <row r="117" spans="1:6" s="39" customFormat="1" ht="22.5">
      <c r="A117" s="19" t="s">
        <v>63</v>
      </c>
      <c r="B117" s="18"/>
      <c r="C117" s="98"/>
      <c r="D117" s="100"/>
      <c r="E117" s="100"/>
      <c r="F117" s="100"/>
    </row>
    <row r="118" spans="1:6" s="39" customFormat="1" ht="11.25">
      <c r="A118" s="24" t="s">
        <v>57</v>
      </c>
      <c r="B118" s="18"/>
      <c r="C118" s="98">
        <v>48.4</v>
      </c>
      <c r="D118" s="112">
        <f>100*0.013091</f>
        <v>1.3091</v>
      </c>
      <c r="E118" s="112">
        <f>100*0.47367157</f>
        <v>47.367157</v>
      </c>
      <c r="F118" s="112">
        <f>100*0.49452104</f>
        <v>49.452104000000006</v>
      </c>
    </row>
    <row r="119" spans="1:6" s="39" customFormat="1" ht="11.25">
      <c r="A119" s="24" t="s">
        <v>58</v>
      </c>
      <c r="B119" s="18"/>
      <c r="C119" s="98">
        <v>51.6</v>
      </c>
      <c r="D119" s="112">
        <f>100*0.012284</f>
        <v>1.2284</v>
      </c>
      <c r="E119" s="112">
        <f>100*0.50547896</f>
        <v>50.547896</v>
      </c>
      <c r="F119" s="112">
        <f>100*0.52632843</f>
        <v>52.632842999999994</v>
      </c>
    </row>
    <row r="120" spans="1:6" s="39" customFormat="1" ht="11.25">
      <c r="A120" s="19" t="s">
        <v>64</v>
      </c>
      <c r="B120" s="18"/>
      <c r="C120" s="98"/>
      <c r="D120" s="100"/>
      <c r="E120" s="100"/>
      <c r="F120" s="100"/>
    </row>
    <row r="121" spans="1:6" s="39" customFormat="1" ht="11.25">
      <c r="A121" s="24" t="s">
        <v>65</v>
      </c>
      <c r="B121" s="23"/>
      <c r="C121" s="99">
        <v>100</v>
      </c>
      <c r="D121" s="100"/>
      <c r="E121" s="100"/>
      <c r="F121" s="100"/>
    </row>
    <row r="122" spans="1:6" s="39" customFormat="1" ht="11.25">
      <c r="A122" s="24" t="s">
        <v>66</v>
      </c>
      <c r="B122" s="30"/>
      <c r="C122" s="113" t="s">
        <v>89</v>
      </c>
      <c r="D122" s="100"/>
      <c r="E122" s="100"/>
      <c r="F122" s="100"/>
    </row>
    <row r="123" spans="1:6" s="39" customFormat="1" ht="11.25">
      <c r="A123" s="24" t="s">
        <v>67</v>
      </c>
      <c r="B123" s="23"/>
      <c r="C123" s="99">
        <v>26.6</v>
      </c>
      <c r="D123" s="112">
        <f>100*0.029927</f>
        <v>2.9926999999999997</v>
      </c>
      <c r="E123" s="112">
        <f>100*0.25238366</f>
        <v>25.238366</v>
      </c>
      <c r="F123" s="112">
        <f>100*0.2785211</f>
        <v>27.852110000000003</v>
      </c>
    </row>
    <row r="124" spans="1:6" s="39" customFormat="1" ht="11.25">
      <c r="A124" s="24" t="s">
        <v>68</v>
      </c>
      <c r="B124" s="23"/>
      <c r="C124" s="99">
        <v>72.1</v>
      </c>
      <c r="D124" s="112">
        <f>100*0.011171</f>
        <v>1.1171</v>
      </c>
      <c r="E124" s="112">
        <f>100*0.70875717</f>
        <v>70.87571700000001</v>
      </c>
      <c r="F124" s="112">
        <f>100*0.73529521</f>
        <v>73.529521</v>
      </c>
    </row>
    <row r="125" spans="1:6" s="39" customFormat="1" ht="11.25">
      <c r="A125" s="24" t="s">
        <v>69</v>
      </c>
      <c r="B125" s="23"/>
      <c r="C125" s="113" t="s">
        <v>89</v>
      </c>
      <c r="D125" s="100"/>
      <c r="E125" s="100"/>
      <c r="F125" s="100"/>
    </row>
    <row r="126" spans="1:6" s="39" customFormat="1" ht="11.25">
      <c r="A126" s="43" t="s">
        <v>70</v>
      </c>
      <c r="B126" s="18"/>
      <c r="C126" s="98"/>
      <c r="D126" s="100"/>
      <c r="E126" s="100"/>
      <c r="F126" s="100"/>
    </row>
    <row r="127" spans="1:6" s="39" customFormat="1" ht="11.25">
      <c r="A127" s="24" t="s">
        <v>71</v>
      </c>
      <c r="B127" s="23"/>
      <c r="C127" s="99">
        <v>100</v>
      </c>
      <c r="D127" s="100"/>
      <c r="E127" s="100"/>
      <c r="F127" s="100"/>
    </row>
    <row r="128" spans="1:6" s="39" customFormat="1" ht="11.25">
      <c r="A128" s="24" t="s">
        <v>72</v>
      </c>
      <c r="B128" s="23"/>
      <c r="C128" s="99">
        <v>5.1</v>
      </c>
      <c r="D128" s="104">
        <f>100*0.077473</f>
        <v>7.7473</v>
      </c>
      <c r="E128" s="104">
        <f>100*0.04453782</f>
        <v>4.4537819999999995</v>
      </c>
      <c r="F128" s="104">
        <f>100*0.0575486</f>
        <v>5.75486</v>
      </c>
    </row>
    <row r="129" spans="1:6" s="39" customFormat="1" ht="11.25">
      <c r="A129" s="24" t="s">
        <v>73</v>
      </c>
      <c r="B129" s="23"/>
      <c r="C129" s="99">
        <v>10.3</v>
      </c>
      <c r="D129" s="104">
        <f>100*0.055561</f>
        <v>5.5561</v>
      </c>
      <c r="E129" s="104">
        <f>100*0.0938231</f>
        <v>9.38231</v>
      </c>
      <c r="F129" s="104">
        <f>100*0.11269964</f>
        <v>11.269964</v>
      </c>
    </row>
    <row r="130" spans="1:6" s="39" customFormat="1" ht="11.25">
      <c r="A130" s="24" t="s">
        <v>74</v>
      </c>
      <c r="B130" s="23"/>
      <c r="C130" s="99">
        <v>31.1</v>
      </c>
      <c r="D130" s="104">
        <f>100*0.027593</f>
        <v>2.7593</v>
      </c>
      <c r="E130" s="104">
        <f>100*0.29677114</f>
        <v>29.677114</v>
      </c>
      <c r="F130" s="104">
        <f>100*0.32499472</f>
        <v>32.499472000000004</v>
      </c>
    </row>
    <row r="131" spans="1:6" s="39" customFormat="1" ht="11.25">
      <c r="A131" s="24" t="s">
        <v>75</v>
      </c>
      <c r="B131" s="23"/>
      <c r="C131" s="99">
        <v>45.8</v>
      </c>
      <c r="D131" s="104">
        <f>100*0.019664</f>
        <v>1.9664000000000001</v>
      </c>
      <c r="E131" s="104">
        <f>100*0.44385312</f>
        <v>44.385312</v>
      </c>
      <c r="F131" s="104">
        <f>100*0.47352896</f>
        <v>47.352896</v>
      </c>
    </row>
    <row r="132" spans="1:6" s="39" customFormat="1" ht="11.25">
      <c r="A132" s="24" t="s">
        <v>76</v>
      </c>
      <c r="B132" s="23"/>
      <c r="C132" s="99">
        <v>3.2</v>
      </c>
      <c r="D132" s="104">
        <f>100*0.088722</f>
        <v>8.8722</v>
      </c>
      <c r="E132" s="104">
        <f>100*0.02698713</f>
        <v>2.698713</v>
      </c>
      <c r="F132" s="104">
        <f>100*0.03621111</f>
        <v>3.621111</v>
      </c>
    </row>
    <row r="133" spans="1:6" s="39" customFormat="1" ht="11.25">
      <c r="A133" s="24" t="s">
        <v>77</v>
      </c>
      <c r="B133" s="23"/>
      <c r="C133" s="99">
        <v>4.5</v>
      </c>
      <c r="D133" s="104">
        <f>100*0.085106</f>
        <v>8.5106</v>
      </c>
      <c r="E133" s="104">
        <f>100*0.03828897</f>
        <v>3.828897</v>
      </c>
      <c r="F133" s="104">
        <f>100*0.0507557</f>
        <v>5.07557</v>
      </c>
    </row>
    <row r="134" spans="1:6" s="39" customFormat="1" ht="22.5">
      <c r="A134" s="19" t="s">
        <v>88</v>
      </c>
      <c r="B134" s="18"/>
      <c r="C134" s="98"/>
      <c r="D134" s="100"/>
      <c r="E134" s="100"/>
      <c r="F134" s="100"/>
    </row>
    <row r="135" spans="1:6" s="39" customFormat="1" ht="11.25">
      <c r="A135" s="24" t="s">
        <v>78</v>
      </c>
      <c r="B135" s="18"/>
      <c r="C135" s="98"/>
      <c r="D135" s="100"/>
      <c r="E135" s="100"/>
      <c r="F135" s="100"/>
    </row>
    <row r="136" spans="1:6" s="39" customFormat="1" ht="11.25">
      <c r="A136" s="24" t="s">
        <v>72</v>
      </c>
      <c r="B136" s="23"/>
      <c r="C136" s="99">
        <v>3.1</v>
      </c>
      <c r="D136" s="104">
        <f>100*0.086674</f>
        <v>8.6674</v>
      </c>
      <c r="E136" s="55">
        <f>100*0.0266473</f>
        <v>2.66473</v>
      </c>
      <c r="F136" s="55">
        <f>100*0.03550971</f>
        <v>3.550971</v>
      </c>
    </row>
    <row r="137" spans="1:6" s="39" customFormat="1" ht="11.25">
      <c r="A137" s="24" t="s">
        <v>73</v>
      </c>
      <c r="B137" s="23"/>
      <c r="C137" s="99">
        <v>9.4</v>
      </c>
      <c r="D137" s="104">
        <f>100*0.052716</f>
        <v>5.2716</v>
      </c>
      <c r="E137" s="55">
        <f>100*0.08553649</f>
        <v>8.553649</v>
      </c>
      <c r="F137" s="55">
        <f>100*0.10178062</f>
        <v>10.178062</v>
      </c>
    </row>
    <row r="138" spans="1:6" s="39" customFormat="1" ht="11.25">
      <c r="A138" s="24" t="s">
        <v>74</v>
      </c>
      <c r="B138" s="23"/>
      <c r="C138" s="99">
        <v>17.9</v>
      </c>
      <c r="D138" s="104">
        <f>100*0.035387</f>
        <v>3.5387000000000004</v>
      </c>
      <c r="E138" s="55">
        <f>100*0.16887749</f>
        <v>16.887749</v>
      </c>
      <c r="F138" s="55">
        <f>100*0.18975439</f>
        <v>18.975438999999998</v>
      </c>
    </row>
    <row r="139" spans="1:6" s="39" customFormat="1" ht="11.25">
      <c r="A139" s="24" t="s">
        <v>75</v>
      </c>
      <c r="B139" s="23"/>
      <c r="C139" s="99">
        <v>30.5</v>
      </c>
      <c r="D139" s="104">
        <f>100*0.024905</f>
        <v>2.4905</v>
      </c>
      <c r="E139" s="55">
        <f>100*0.29263194</f>
        <v>29.263194</v>
      </c>
      <c r="F139" s="55">
        <f>100*0.31763422</f>
        <v>31.763422000000002</v>
      </c>
    </row>
    <row r="140" spans="1:6" s="39" customFormat="1" ht="11.25">
      <c r="A140" s="24" t="s">
        <v>76</v>
      </c>
      <c r="B140" s="23"/>
      <c r="C140" s="99">
        <v>24</v>
      </c>
      <c r="D140" s="104">
        <f>100*0.028729</f>
        <v>2.8729</v>
      </c>
      <c r="E140" s="55">
        <f>100*0.22851778</f>
        <v>22.851778</v>
      </c>
      <c r="F140" s="55">
        <f>100*0.25118838</f>
        <v>25.118838</v>
      </c>
    </row>
    <row r="141" spans="1:6" s="39" customFormat="1" ht="11.25">
      <c r="A141" s="24" t="s">
        <v>77</v>
      </c>
      <c r="B141" s="23"/>
      <c r="C141" s="99">
        <v>15.1</v>
      </c>
      <c r="D141" s="104">
        <f>100*0.038441</f>
        <v>3.8441</v>
      </c>
      <c r="E141" s="55">
        <f>100*0.14141472</f>
        <v>14.141472</v>
      </c>
      <c r="F141" s="55">
        <f>100*0.16050695</f>
        <v>16.050695</v>
      </c>
    </row>
    <row r="142" spans="1:6" s="39" customFormat="1" ht="11.25">
      <c r="A142" s="24" t="s">
        <v>79</v>
      </c>
      <c r="B142" s="18"/>
      <c r="C142" s="98"/>
      <c r="D142" s="100"/>
      <c r="E142" s="100"/>
      <c r="F142" s="100"/>
    </row>
    <row r="143" spans="1:6" s="39" customFormat="1" ht="11.25">
      <c r="A143" s="24" t="s">
        <v>72</v>
      </c>
      <c r="B143" s="18"/>
      <c r="C143" s="98">
        <v>5.9</v>
      </c>
      <c r="D143" s="104">
        <f>100*0.029323</f>
        <v>2.9322999999999997</v>
      </c>
      <c r="E143" s="104">
        <f>100*0.05612708</f>
        <v>5.6127080000000005</v>
      </c>
      <c r="F143" s="104">
        <f>100*0.06181584</f>
        <v>6.181584</v>
      </c>
    </row>
    <row r="144" spans="1:6" s="39" customFormat="1" ht="11.25">
      <c r="A144" s="24" t="s">
        <v>73</v>
      </c>
      <c r="B144" s="23"/>
      <c r="C144" s="98">
        <v>19.6</v>
      </c>
      <c r="D144" s="104">
        <f>100*0.014086</f>
        <v>1.4085999999999999</v>
      </c>
      <c r="E144" s="104">
        <f>100*0.1912457</f>
        <v>19.12457</v>
      </c>
      <c r="F144" s="104">
        <f>100*0.20031828</f>
        <v>20.031827999999997</v>
      </c>
    </row>
    <row r="145" spans="1:6" s="39" customFormat="1" ht="11.25">
      <c r="A145" s="24" t="s">
        <v>74</v>
      </c>
      <c r="B145" s="18"/>
      <c r="C145" s="98">
        <v>15.6</v>
      </c>
      <c r="D145" s="104">
        <f>100*0.015992</f>
        <v>1.5992</v>
      </c>
      <c r="E145" s="104">
        <f>100*0.15159843</f>
        <v>15.159843</v>
      </c>
      <c r="F145" s="104">
        <f>100*0.15978958</f>
        <v>15.978957999999999</v>
      </c>
    </row>
    <row r="146" spans="1:6" s="39" customFormat="1" ht="11.25">
      <c r="A146" s="24" t="s">
        <v>75</v>
      </c>
      <c r="B146" s="18"/>
      <c r="C146" s="98">
        <v>26.5</v>
      </c>
      <c r="D146" s="104">
        <f>100*0.011299</f>
        <v>1.1299</v>
      </c>
      <c r="E146" s="104">
        <f>100*0.26084221</f>
        <v>26.084221000000003</v>
      </c>
      <c r="F146" s="104">
        <f>100*0.27072192</f>
        <v>27.072192</v>
      </c>
    </row>
    <row r="147" spans="1:6" s="39" customFormat="1" ht="11.25">
      <c r="A147" s="24" t="s">
        <v>76</v>
      </c>
      <c r="B147" s="18"/>
      <c r="C147" s="98">
        <v>10.5</v>
      </c>
      <c r="D147" s="104">
        <f>100*0.020045</f>
        <v>2.0045</v>
      </c>
      <c r="E147" s="104">
        <f>100*0.10178346</f>
        <v>10.178346000000001</v>
      </c>
      <c r="F147" s="104">
        <f>100*0.1087244</f>
        <v>10.87244</v>
      </c>
    </row>
    <row r="148" spans="1:6" s="39" customFormat="1" ht="11.25">
      <c r="A148" s="24" t="s">
        <v>77</v>
      </c>
      <c r="B148" s="18"/>
      <c r="C148" s="98">
        <v>21.9</v>
      </c>
      <c r="D148" s="104">
        <f>100*0.013177</f>
        <v>1.3176999999999999</v>
      </c>
      <c r="E148" s="104">
        <f>100*0.21378046</f>
        <v>21.378046</v>
      </c>
      <c r="F148" s="104">
        <f>100*0.22325265</f>
        <v>22.325264999999998</v>
      </c>
    </row>
    <row r="149" spans="1:6" s="39" customFormat="1" ht="11.25">
      <c r="A149" s="24" t="s">
        <v>55</v>
      </c>
      <c r="B149" s="18"/>
      <c r="C149" s="98"/>
      <c r="D149" s="100"/>
      <c r="E149" s="100"/>
      <c r="F149" s="100"/>
    </row>
    <row r="150" spans="1:6" s="39" customFormat="1" ht="11.25">
      <c r="A150" s="24" t="s">
        <v>72</v>
      </c>
      <c r="B150" s="23"/>
      <c r="C150" s="98">
        <v>17.7</v>
      </c>
      <c r="D150" s="104">
        <f>100*0.02684</f>
        <v>2.6839999999999997</v>
      </c>
      <c r="E150" s="104">
        <f>100*0.16902872</f>
        <v>16.902872</v>
      </c>
      <c r="F150" s="104">
        <f>100*0.18464338</f>
        <v>18.464337999999998</v>
      </c>
    </row>
    <row r="151" spans="1:6" s="39" customFormat="1" ht="11.25">
      <c r="A151" s="24" t="s">
        <v>73</v>
      </c>
      <c r="B151" s="23"/>
      <c r="C151" s="98">
        <v>34.3</v>
      </c>
      <c r="D151" s="104">
        <f>100*0.016908</f>
        <v>1.6907999999999999</v>
      </c>
      <c r="E151" s="104">
        <f>100*0.33395426</f>
        <v>33.395426</v>
      </c>
      <c r="F151" s="104">
        <f>100*0.35306168</f>
        <v>35.306168</v>
      </c>
    </row>
    <row r="152" spans="1:6" s="39" customFormat="1" ht="11.25">
      <c r="A152" s="24" t="s">
        <v>74</v>
      </c>
      <c r="B152" s="23"/>
      <c r="C152" s="98">
        <v>10.3</v>
      </c>
      <c r="D152" s="104">
        <f>100*0.037013</f>
        <v>3.7013</v>
      </c>
      <c r="E152" s="104">
        <f>100*0.09713017</f>
        <v>9.713017</v>
      </c>
      <c r="F152" s="104">
        <f>100*0.10972436</f>
        <v>10.972436</v>
      </c>
    </row>
    <row r="153" spans="1:6" s="39" customFormat="1" ht="11.25">
      <c r="A153" s="24" t="s">
        <v>75</v>
      </c>
      <c r="B153" s="23"/>
      <c r="C153" s="98">
        <v>18.9</v>
      </c>
      <c r="D153" s="104">
        <f>100*0.025429</f>
        <v>2.5429</v>
      </c>
      <c r="E153" s="104">
        <f>100*0.18069912</f>
        <v>18.069912</v>
      </c>
      <c r="F153" s="104">
        <f>100*0.19647657</f>
        <v>19.647657</v>
      </c>
    </row>
    <row r="154" spans="1:6" s="39" customFormat="1" ht="11.25">
      <c r="A154" s="24" t="s">
        <v>76</v>
      </c>
      <c r="B154" s="23"/>
      <c r="C154" s="98">
        <v>4.7</v>
      </c>
      <c r="D154" s="104">
        <f>100*0.05894</f>
        <v>5.894</v>
      </c>
      <c r="E154" s="104">
        <f>100*0.04220285</f>
        <v>4.220285</v>
      </c>
      <c r="F154" s="104">
        <f>100*0.05126485</f>
        <v>5.126485</v>
      </c>
    </row>
    <row r="155" spans="1:6" s="39" customFormat="1" ht="11.25">
      <c r="A155" s="46" t="s">
        <v>77</v>
      </c>
      <c r="B155" s="47"/>
      <c r="C155" s="114">
        <v>14.1</v>
      </c>
      <c r="D155" s="115">
        <f>100*0.03121</f>
        <v>3.121</v>
      </c>
      <c r="E155" s="115">
        <f>100*0.13367287</f>
        <v>13.367287</v>
      </c>
      <c r="F155" s="115">
        <f>100*0.14814117</f>
        <v>14.814117</v>
      </c>
    </row>
    <row r="156" spans="1:6" s="39" customFormat="1" ht="11.25">
      <c r="A156" s="34"/>
      <c r="B156" s="48"/>
      <c r="C156" s="48"/>
      <c r="D156" s="57"/>
      <c r="E156" s="57"/>
      <c r="F156" s="57"/>
    </row>
    <row r="157" spans="1:6" s="39" customFormat="1" ht="11.25">
      <c r="A157" s="35" t="s">
        <v>109</v>
      </c>
      <c r="B157" s="48"/>
      <c r="C157" s="48"/>
      <c r="D157" s="57"/>
      <c r="E157" s="57"/>
      <c r="F157" s="57"/>
    </row>
    <row r="158" spans="1:6" s="39" customFormat="1" ht="11.25">
      <c r="A158" s="35" t="s">
        <v>110</v>
      </c>
      <c r="B158" s="48"/>
      <c r="C158" s="48"/>
      <c r="D158" s="57"/>
      <c r="E158" s="57"/>
      <c r="F158" s="57"/>
    </row>
    <row r="159" spans="1:6" s="39" customFormat="1" ht="11.25">
      <c r="A159" s="35" t="s">
        <v>111</v>
      </c>
      <c r="B159" s="48"/>
      <c r="C159" s="48"/>
      <c r="D159" s="57"/>
      <c r="E159" s="57"/>
      <c r="F159" s="57"/>
    </row>
    <row r="160" spans="1:6" s="39" customFormat="1" ht="11.25">
      <c r="A160" s="36" t="s">
        <v>91</v>
      </c>
      <c r="B160" s="48"/>
      <c r="C160" s="48"/>
      <c r="D160" s="57"/>
      <c r="E160" s="57"/>
      <c r="F160" s="57"/>
    </row>
    <row r="161" spans="1:6" s="39" customFormat="1" ht="11.25">
      <c r="A161" s="34"/>
      <c r="B161" s="48"/>
      <c r="C161" s="48"/>
      <c r="D161" s="57"/>
      <c r="E161" s="57"/>
      <c r="F161" s="57"/>
    </row>
    <row r="162" spans="1:6" s="39" customFormat="1" ht="11.25">
      <c r="A162" s="34" t="s">
        <v>106</v>
      </c>
      <c r="B162" s="48"/>
      <c r="C162" s="48"/>
      <c r="D162" s="57"/>
      <c r="E162" s="57"/>
      <c r="F162" s="57"/>
    </row>
    <row r="166" spans="1:6" ht="12.75">
      <c r="A166" s="152" t="s">
        <v>120</v>
      </c>
      <c r="B166" s="168"/>
      <c r="C166" s="168"/>
      <c r="D166" s="168"/>
      <c r="E166" s="168"/>
      <c r="F166" s="168"/>
    </row>
    <row r="167" spans="1:6" ht="15">
      <c r="A167" s="11"/>
      <c r="B167" s="12"/>
      <c r="C167" s="12"/>
      <c r="D167" s="13"/>
      <c r="E167" s="13"/>
      <c r="F167" s="13"/>
    </row>
    <row r="168" spans="1:6" ht="12.75">
      <c r="A168" s="159" t="s">
        <v>134</v>
      </c>
      <c r="B168" s="14"/>
      <c r="C168" s="166" t="s">
        <v>80</v>
      </c>
      <c r="D168" s="150" t="s">
        <v>81</v>
      </c>
      <c r="E168" s="156" t="s">
        <v>84</v>
      </c>
      <c r="F168" s="156"/>
    </row>
    <row r="169" spans="1:6" ht="12.75">
      <c r="A169" s="160"/>
      <c r="B169" s="16"/>
      <c r="C169" s="163"/>
      <c r="D169" s="149"/>
      <c r="E169" s="167" t="s">
        <v>82</v>
      </c>
      <c r="F169" s="167" t="s">
        <v>83</v>
      </c>
    </row>
    <row r="170" spans="1:6" ht="12.75">
      <c r="A170" s="17"/>
      <c r="B170" s="18"/>
      <c r="C170" s="18"/>
      <c r="D170" s="37"/>
      <c r="E170" s="37"/>
      <c r="F170" s="37"/>
    </row>
    <row r="171" spans="1:6" ht="12.75">
      <c r="A171" s="19" t="s">
        <v>0</v>
      </c>
      <c r="B171" s="20"/>
      <c r="C171" s="94">
        <v>8866929</v>
      </c>
      <c r="D171" s="116"/>
      <c r="E171" s="116"/>
      <c r="F171" s="116"/>
    </row>
    <row r="172" spans="1:6" ht="12.75">
      <c r="A172" s="21" t="s">
        <v>1</v>
      </c>
      <c r="B172" s="22"/>
      <c r="C172" s="97"/>
      <c r="D172" s="116"/>
      <c r="E172" s="116"/>
      <c r="F172" s="116"/>
    </row>
    <row r="173" spans="1:6" ht="12.75">
      <c r="A173" s="19" t="s">
        <v>2</v>
      </c>
      <c r="B173" s="23"/>
      <c r="C173" s="98"/>
      <c r="D173" s="116"/>
      <c r="E173" s="116"/>
      <c r="F173" s="116"/>
    </row>
    <row r="174" spans="1:6" ht="12.75">
      <c r="A174" s="17" t="s">
        <v>3</v>
      </c>
      <c r="B174" s="23"/>
      <c r="C174" s="99">
        <v>7.6</v>
      </c>
      <c r="D174" s="105">
        <f>0.028251*100</f>
        <v>2.8251</v>
      </c>
      <c r="E174" s="105">
        <f>0.07258757*100</f>
        <v>7.258757</v>
      </c>
      <c r="F174" s="105">
        <f>0.07966255*100</f>
        <v>7.966255</v>
      </c>
    </row>
    <row r="175" spans="1:6" ht="12.75">
      <c r="A175" s="17" t="s">
        <v>4</v>
      </c>
      <c r="B175" s="23"/>
      <c r="C175" s="99">
        <v>13.1</v>
      </c>
      <c r="D175" s="105">
        <f>0.20691*100</f>
        <v>20.691000000000003</v>
      </c>
      <c r="E175" s="105">
        <f>0.1263849*100</f>
        <v>12.63849</v>
      </c>
      <c r="F175" s="105">
        <f>0.13529083*100</f>
        <v>13.529083</v>
      </c>
    </row>
    <row r="176" spans="1:6" ht="12.75">
      <c r="A176" s="17" t="s">
        <v>5</v>
      </c>
      <c r="B176" s="23"/>
      <c r="C176" s="99">
        <v>79.3</v>
      </c>
      <c r="D176" s="105">
        <f>0.004064*100</f>
        <v>0.4064</v>
      </c>
      <c r="E176" s="105">
        <f>0.78773625*100</f>
        <v>78.77362500000001</v>
      </c>
      <c r="F176" s="105">
        <f>0.79833792*100</f>
        <v>79.833792</v>
      </c>
    </row>
    <row r="177" spans="1:6" ht="12.75">
      <c r="A177" s="19" t="s">
        <v>92</v>
      </c>
      <c r="B177" s="23"/>
      <c r="C177" s="99"/>
      <c r="D177" s="105"/>
      <c r="E177" s="105"/>
      <c r="F177" s="105"/>
    </row>
    <row r="178" spans="1:6" ht="12.75">
      <c r="A178" s="17" t="s">
        <v>6</v>
      </c>
      <c r="B178" s="23"/>
      <c r="C178" s="99">
        <v>97.2</v>
      </c>
      <c r="D178" s="105">
        <f>100*0.005981</f>
        <v>0.5981000000000001</v>
      </c>
      <c r="E178" s="105">
        <f>100*0.97009369</f>
        <v>97.009369</v>
      </c>
      <c r="F178" s="105">
        <f>100*0.97437057</f>
        <v>97.43705700000001</v>
      </c>
    </row>
    <row r="179" spans="1:6" ht="12.75">
      <c r="A179" s="17" t="s">
        <v>7</v>
      </c>
      <c r="B179" s="23"/>
      <c r="C179" s="99">
        <v>82.8</v>
      </c>
      <c r="D179" s="105">
        <f>0.003621*100</f>
        <v>0.36210000000000003</v>
      </c>
      <c r="E179" s="105">
        <f>0.8216962*100</f>
        <v>82.16962</v>
      </c>
      <c r="F179" s="105">
        <f>0.83154252*100</f>
        <v>83.154252</v>
      </c>
    </row>
    <row r="180" spans="1:6" ht="12.75">
      <c r="A180" s="17" t="s">
        <v>8</v>
      </c>
      <c r="B180" s="23"/>
      <c r="C180" s="99">
        <v>14.4</v>
      </c>
      <c r="D180" s="105">
        <f>0.019336*100</f>
        <v>1.9336</v>
      </c>
      <c r="E180" s="105">
        <f>0.13939626*100</f>
        <v>13.939625999999999</v>
      </c>
      <c r="F180" s="105">
        <f>0.14855477*100</f>
        <v>14.855477</v>
      </c>
    </row>
    <row r="181" spans="1:6" ht="12.75">
      <c r="A181" s="17" t="s">
        <v>9</v>
      </c>
      <c r="B181" s="23"/>
      <c r="C181" s="99">
        <v>2.8</v>
      </c>
      <c r="D181" s="105">
        <f>0.047275*100</f>
        <v>4.7275</v>
      </c>
      <c r="E181" s="105">
        <f>0.02553219*100</f>
        <v>2.553219</v>
      </c>
      <c r="F181" s="105">
        <f>0.02983794*100</f>
        <v>2.983794</v>
      </c>
    </row>
    <row r="182" spans="1:6" ht="12.75">
      <c r="A182" s="19" t="s">
        <v>93</v>
      </c>
      <c r="B182" s="23"/>
      <c r="C182" s="99"/>
      <c r="D182" s="105"/>
      <c r="E182" s="105"/>
      <c r="F182" s="105"/>
    </row>
    <row r="183" spans="1:6" ht="12.75">
      <c r="A183" s="17" t="s">
        <v>10</v>
      </c>
      <c r="B183" s="23"/>
      <c r="C183" s="99">
        <f>100-C184</f>
        <v>85.5</v>
      </c>
      <c r="D183" s="105">
        <f>0.003535*100</f>
        <v>0.3535</v>
      </c>
      <c r="E183" s="105">
        <f>0.84841687*100</f>
        <v>84.841687</v>
      </c>
      <c r="F183" s="105">
        <f>0.85834111*100</f>
        <v>85.83411100000001</v>
      </c>
    </row>
    <row r="184" spans="1:6" ht="12.75">
      <c r="A184" s="17" t="s">
        <v>11</v>
      </c>
      <c r="B184" s="23"/>
      <c r="C184" s="99">
        <v>14.5</v>
      </c>
      <c r="D184" s="105">
        <f>0.020726*100</f>
        <v>2.0726</v>
      </c>
      <c r="E184" s="105">
        <f>0.14007121*100</f>
        <v>14.007121</v>
      </c>
      <c r="F184" s="105">
        <f>0.14995912*100</f>
        <v>14.995912</v>
      </c>
    </row>
    <row r="185" spans="1:6" ht="12.75">
      <c r="A185" s="25" t="s">
        <v>94</v>
      </c>
      <c r="B185" s="23"/>
      <c r="C185" s="99"/>
      <c r="D185" s="105"/>
      <c r="E185" s="105"/>
      <c r="F185" s="105"/>
    </row>
    <row r="186" spans="1:6" ht="12.75">
      <c r="A186" s="17" t="s">
        <v>12</v>
      </c>
      <c r="B186" s="23"/>
      <c r="C186" s="99">
        <f>100-C187</f>
        <v>93.6</v>
      </c>
      <c r="D186" s="105">
        <f>0.002355*100</f>
        <v>0.2355</v>
      </c>
      <c r="E186" s="105">
        <f>0.93234664*100</f>
        <v>93.234664</v>
      </c>
      <c r="F186" s="105">
        <f>0.939599*100</f>
        <v>93.95989999999999</v>
      </c>
    </row>
    <row r="187" spans="1:6" ht="12.75">
      <c r="A187" s="17" t="s">
        <v>13</v>
      </c>
      <c r="B187" s="23"/>
      <c r="C187" s="99">
        <v>6.4</v>
      </c>
      <c r="D187" s="105">
        <f>0.034431*100</f>
        <v>3.4431000000000003</v>
      </c>
      <c r="E187" s="105">
        <f>0.060401*100</f>
        <v>6.040100000000001</v>
      </c>
      <c r="F187" s="105">
        <f>0.06765336*100</f>
        <v>6.765336</v>
      </c>
    </row>
    <row r="188" spans="1:6" ht="12.75">
      <c r="A188" s="19" t="s">
        <v>14</v>
      </c>
      <c r="B188" s="18"/>
      <c r="C188" s="98"/>
      <c r="D188" s="105"/>
      <c r="E188" s="105"/>
      <c r="F188" s="105"/>
    </row>
    <row r="189" spans="1:6" ht="12.75">
      <c r="A189" s="17" t="s">
        <v>15</v>
      </c>
      <c r="B189" s="23"/>
      <c r="C189" s="99">
        <f>100-C193</f>
        <v>97.4</v>
      </c>
      <c r="D189" s="105">
        <f>0.001455*100</f>
        <v>0.1455</v>
      </c>
      <c r="E189" s="105">
        <f>0.97122546*100</f>
        <v>97.122546</v>
      </c>
      <c r="F189" s="105">
        <f>0.97588711*100</f>
        <v>97.58871099999999</v>
      </c>
    </row>
    <row r="190" spans="1:6" ht="12.75">
      <c r="A190" s="17" t="s">
        <v>16</v>
      </c>
      <c r="B190" s="23"/>
      <c r="C190" s="99">
        <v>88</v>
      </c>
      <c r="D190" s="105">
        <f>100*0.003459</f>
        <v>0.3459</v>
      </c>
      <c r="E190" s="105">
        <f>100*0.87517036</f>
        <v>87.517036</v>
      </c>
      <c r="F190" s="105">
        <f>100*0.88518621</f>
        <v>88.518621</v>
      </c>
    </row>
    <row r="191" spans="1:6" ht="12.75">
      <c r="A191" s="17" t="s">
        <v>17</v>
      </c>
      <c r="B191" s="23"/>
      <c r="C191" s="99">
        <v>9.2</v>
      </c>
      <c r="D191" s="105">
        <f>100*0.030417</f>
        <v>3.0417</v>
      </c>
      <c r="E191" s="105">
        <f>100*0.08695597</f>
        <v>8.695597</v>
      </c>
      <c r="F191" s="105">
        <f>100*0.09611566</f>
        <v>9.611566</v>
      </c>
    </row>
    <row r="192" spans="1:6" ht="12.75">
      <c r="A192" s="17" t="s">
        <v>18</v>
      </c>
      <c r="B192" s="26"/>
      <c r="C192" s="117" t="s">
        <v>89</v>
      </c>
      <c r="D192" s="118"/>
      <c r="E192" s="118"/>
      <c r="F192" s="118"/>
    </row>
    <row r="193" spans="1:6" ht="12.75">
      <c r="A193" s="17" t="s">
        <v>19</v>
      </c>
      <c r="B193" s="23"/>
      <c r="C193" s="99">
        <v>2.6</v>
      </c>
      <c r="D193" s="105">
        <f>0.053586*100</f>
        <v>5.3586</v>
      </c>
      <c r="E193" s="105">
        <f>0.02411289*100</f>
        <v>2.411289</v>
      </c>
      <c r="F193" s="105">
        <f>0.02877454*100</f>
        <v>2.877454</v>
      </c>
    </row>
    <row r="194" spans="1:6" ht="12.75">
      <c r="A194" s="17"/>
      <c r="B194" s="23"/>
      <c r="C194" s="99"/>
      <c r="D194" s="105"/>
      <c r="E194" s="105"/>
      <c r="F194" s="105"/>
    </row>
    <row r="195" spans="1:6" ht="12.75">
      <c r="A195" s="21" t="s">
        <v>95</v>
      </c>
      <c r="B195" s="27"/>
      <c r="C195" s="97"/>
      <c r="D195" s="105"/>
      <c r="E195" s="105"/>
      <c r="F195" s="105"/>
    </row>
    <row r="196" spans="1:6" ht="12.75">
      <c r="A196" s="25" t="s">
        <v>21</v>
      </c>
      <c r="B196" s="18"/>
      <c r="C196" s="98"/>
      <c r="D196" s="105"/>
      <c r="E196" s="105"/>
      <c r="F196" s="105"/>
    </row>
    <row r="197" spans="1:6" ht="12.75">
      <c r="A197" s="17" t="s">
        <v>22</v>
      </c>
      <c r="B197" s="23"/>
      <c r="C197" s="99">
        <v>89.6</v>
      </c>
      <c r="D197" s="105">
        <f>0.003293*100</f>
        <v>0.3293</v>
      </c>
      <c r="E197" s="105">
        <f>0.89199314*100</f>
        <v>89.199314</v>
      </c>
      <c r="F197" s="105">
        <f>0.90170812*100</f>
        <v>90.170812</v>
      </c>
    </row>
    <row r="198" spans="1:6" ht="12.75">
      <c r="A198" s="17" t="s">
        <v>23</v>
      </c>
      <c r="B198" s="23"/>
      <c r="C198" s="99">
        <v>10.4</v>
      </c>
      <c r="D198" s="105">
        <f>0.028629*100</f>
        <v>2.8629000000000002</v>
      </c>
      <c r="E198" s="105">
        <f>0.09829188*100</f>
        <v>9.829188</v>
      </c>
      <c r="F198" s="105">
        <f>0.10800686*100</f>
        <v>10.800685999999999</v>
      </c>
    </row>
    <row r="199" spans="1:6" ht="12.75">
      <c r="A199" s="19" t="s">
        <v>24</v>
      </c>
      <c r="B199" s="23"/>
      <c r="C199" s="99"/>
      <c r="D199" s="105"/>
      <c r="E199" s="105"/>
      <c r="F199" s="105"/>
    </row>
    <row r="200" spans="1:6" ht="12.75">
      <c r="A200" s="17" t="s">
        <v>22</v>
      </c>
      <c r="B200" s="23"/>
      <c r="C200" s="99">
        <v>69.5</v>
      </c>
      <c r="D200" s="105">
        <f>0.005302*100</f>
        <v>0.5302</v>
      </c>
      <c r="E200" s="105">
        <f>0.68833211*100</f>
        <v>68.833211</v>
      </c>
      <c r="F200" s="105">
        <f>0.70044314*100</f>
        <v>70.044314</v>
      </c>
    </row>
    <row r="201" spans="1:6" ht="12.75">
      <c r="A201" s="17" t="s">
        <v>23</v>
      </c>
      <c r="B201" s="23"/>
      <c r="C201" s="99">
        <v>30.5</v>
      </c>
      <c r="D201" s="105">
        <f>0.012046*100</f>
        <v>1.2046</v>
      </c>
      <c r="E201" s="105">
        <f>0.29955686*100</f>
        <v>29.955685999999996</v>
      </c>
      <c r="F201" s="105">
        <f>0.31166789*100</f>
        <v>31.166789</v>
      </c>
    </row>
    <row r="202" spans="1:6" ht="12.75">
      <c r="A202" s="19" t="s">
        <v>25</v>
      </c>
      <c r="B202" s="24"/>
      <c r="C202" s="98"/>
      <c r="D202" s="105"/>
      <c r="E202" s="105"/>
      <c r="F202" s="105"/>
    </row>
    <row r="203" spans="1:6" ht="12.75">
      <c r="A203" s="17" t="s">
        <v>22</v>
      </c>
      <c r="B203" s="23"/>
      <c r="C203" s="99">
        <v>70.1</v>
      </c>
      <c r="D203" s="105">
        <f>0.004904*100</f>
        <v>0.49040000000000006</v>
      </c>
      <c r="E203" s="105">
        <f>0.69501979*100</f>
        <v>69.501979</v>
      </c>
      <c r="F203" s="105">
        <f>0.70632325*100</f>
        <v>70.632325</v>
      </c>
    </row>
    <row r="204" spans="1:6" ht="12.75">
      <c r="A204" s="17" t="s">
        <v>23</v>
      </c>
      <c r="B204" s="23"/>
      <c r="C204" s="99">
        <v>29.9</v>
      </c>
      <c r="D204" s="105">
        <f>0.011479*100</f>
        <v>1.1479</v>
      </c>
      <c r="E204" s="105">
        <f>0.29367675*100</f>
        <v>29.367675</v>
      </c>
      <c r="F204" s="105">
        <f>0.30498021*100</f>
        <v>30.498020999999998</v>
      </c>
    </row>
    <row r="205" spans="1:6" ht="12.75">
      <c r="A205" s="17"/>
      <c r="B205" s="23"/>
      <c r="C205" s="99"/>
      <c r="D205" s="105"/>
      <c r="E205" s="105"/>
      <c r="F205" s="105"/>
    </row>
    <row r="206" spans="1:6" ht="12.75">
      <c r="A206" s="19" t="s">
        <v>26</v>
      </c>
      <c r="B206" s="23"/>
      <c r="C206" s="99">
        <v>44.69439563423626</v>
      </c>
      <c r="D206" s="105">
        <f>0.008447*100</f>
        <v>0.8447</v>
      </c>
      <c r="E206" s="105">
        <f>0.4403946*100</f>
        <v>44.039460000000005</v>
      </c>
      <c r="F206" s="105">
        <f>0.45280574*100</f>
        <v>45.280574</v>
      </c>
    </row>
    <row r="207" spans="1:6" ht="12.75">
      <c r="A207" s="19"/>
      <c r="B207" s="23"/>
      <c r="C207" s="99"/>
      <c r="D207" s="105"/>
      <c r="E207" s="105"/>
      <c r="F207" s="105"/>
    </row>
    <row r="208" spans="1:6" ht="12.75">
      <c r="A208" s="21" t="s">
        <v>27</v>
      </c>
      <c r="B208" s="22"/>
      <c r="C208" s="102"/>
      <c r="D208" s="105"/>
      <c r="E208" s="105"/>
      <c r="F208" s="105"/>
    </row>
    <row r="209" spans="1:6" ht="12.75">
      <c r="A209" s="19" t="s">
        <v>96</v>
      </c>
      <c r="B209" s="23"/>
      <c r="C209" s="99">
        <v>7.359673230720579</v>
      </c>
      <c r="D209" s="105">
        <f>0.028907*100</f>
        <v>2.8907</v>
      </c>
      <c r="E209" s="105">
        <f>0.06968188*100</f>
        <v>6.9681880000000005</v>
      </c>
      <c r="F209" s="105">
        <f>0.07663923*100</f>
        <v>7.6639230000000005</v>
      </c>
    </row>
    <row r="210" spans="1:6" ht="22.5">
      <c r="A210" s="19" t="s">
        <v>97</v>
      </c>
      <c r="B210" s="23"/>
      <c r="C210" s="99">
        <v>11.994118820619857</v>
      </c>
      <c r="D210" s="105">
        <f>0.023571*100</f>
        <v>2.3571</v>
      </c>
      <c r="E210" s="105">
        <f>0.11467996*100</f>
        <v>11.467996</v>
      </c>
      <c r="F210" s="105">
        <f>0.12393147*100</f>
        <v>12.393147</v>
      </c>
    </row>
    <row r="211" spans="1:6" ht="12.75">
      <c r="A211" s="28"/>
      <c r="B211" s="23"/>
      <c r="C211" s="99"/>
      <c r="D211" s="105"/>
      <c r="E211" s="105"/>
      <c r="F211" s="105"/>
    </row>
    <row r="212" spans="1:6" ht="12.75">
      <c r="A212" s="21" t="s">
        <v>98</v>
      </c>
      <c r="B212" s="22"/>
      <c r="C212" s="102"/>
      <c r="D212" s="105"/>
      <c r="E212" s="105"/>
      <c r="F212" s="105"/>
    </row>
    <row r="213" spans="1:6" ht="12.75">
      <c r="A213" s="29" t="s">
        <v>28</v>
      </c>
      <c r="B213" s="23"/>
      <c r="C213" s="99">
        <v>65.6</v>
      </c>
      <c r="D213" s="105">
        <f>0.005748*100</f>
        <v>0.5748</v>
      </c>
      <c r="E213" s="105">
        <f>0.64768036*100</f>
        <v>64.768036</v>
      </c>
      <c r="F213" s="105">
        <f>0.66004471*100</f>
        <v>66.004471</v>
      </c>
    </row>
    <row r="214" spans="1:6" ht="12.75">
      <c r="A214" s="29" t="s">
        <v>29</v>
      </c>
      <c r="B214" s="23"/>
      <c r="C214" s="99">
        <v>5.4</v>
      </c>
      <c r="D214" s="105">
        <f>0.034906*100</f>
        <v>3.4906</v>
      </c>
      <c r="E214" s="105">
        <f>0.05101376*100</f>
        <v>5.101376</v>
      </c>
      <c r="F214" s="105">
        <f>0.0572287*100</f>
        <v>5.72287</v>
      </c>
    </row>
    <row r="215" spans="1:6" ht="12.75">
      <c r="A215" s="29" t="s">
        <v>30</v>
      </c>
      <c r="B215" s="23"/>
      <c r="C215" s="99">
        <v>18.2</v>
      </c>
      <c r="D215" s="105">
        <f>0.016567*100</f>
        <v>1.6566999999999998</v>
      </c>
      <c r="E215" s="105">
        <f>0.17687183*100</f>
        <v>17.687183</v>
      </c>
      <c r="F215" s="105">
        <f>0.18678166*100</f>
        <v>18.678165999999997</v>
      </c>
    </row>
    <row r="216" spans="1:6" ht="12.75">
      <c r="A216" s="29" t="s">
        <v>31</v>
      </c>
      <c r="B216" s="23"/>
      <c r="C216" s="99">
        <v>9.1</v>
      </c>
      <c r="D216" s="105">
        <f>0.024774*100</f>
        <v>2.4774000000000003</v>
      </c>
      <c r="E216" s="105">
        <f>0.08784189*100</f>
        <v>8.784189000000001</v>
      </c>
      <c r="F216" s="105">
        <f>0.09530521*100</f>
        <v>9.530521</v>
      </c>
    </row>
    <row r="217" spans="1:6" ht="12.75">
      <c r="A217" s="29" t="s">
        <v>32</v>
      </c>
      <c r="B217" s="23"/>
      <c r="C217" s="99">
        <v>1.7</v>
      </c>
      <c r="D217" s="105">
        <f>0.057928*100</f>
        <v>5.7928</v>
      </c>
      <c r="E217" s="105">
        <f>0.01538928*100</f>
        <v>1.538928</v>
      </c>
      <c r="F217" s="105">
        <f>0.0186309*100</f>
        <v>1.86309</v>
      </c>
    </row>
    <row r="218" spans="1:6" ht="12.75">
      <c r="A218" s="29"/>
      <c r="B218" s="23"/>
      <c r="C218" s="99"/>
      <c r="D218" s="105"/>
      <c r="E218" s="105"/>
      <c r="F218" s="105"/>
    </row>
    <row r="219" spans="1:6" ht="12.75">
      <c r="A219" s="21" t="s">
        <v>99</v>
      </c>
      <c r="B219" s="22"/>
      <c r="C219" s="102"/>
      <c r="D219" s="105"/>
      <c r="E219" s="105"/>
      <c r="F219" s="105"/>
    </row>
    <row r="220" spans="1:6" ht="22.5">
      <c r="A220" s="17" t="s">
        <v>100</v>
      </c>
      <c r="B220" s="23"/>
      <c r="C220" s="99">
        <v>14.83090432321382</v>
      </c>
      <c r="D220" s="105">
        <v>2.2</v>
      </c>
      <c r="E220" s="105">
        <v>14.630904323213821</v>
      </c>
      <c r="F220" s="105">
        <v>15.03090432321382</v>
      </c>
    </row>
    <row r="221" spans="1:6" ht="22.5">
      <c r="A221" s="29" t="s">
        <v>101</v>
      </c>
      <c r="B221" s="23"/>
      <c r="C221" s="99">
        <v>34.6</v>
      </c>
      <c r="D221" s="105">
        <v>1.2</v>
      </c>
      <c r="E221" s="105">
        <v>34.4</v>
      </c>
      <c r="F221" s="105">
        <v>34.800000000000004</v>
      </c>
    </row>
    <row r="222" spans="1:6" ht="12.75">
      <c r="A222" s="24"/>
      <c r="B222" s="24"/>
      <c r="C222" s="98"/>
      <c r="D222" s="105"/>
      <c r="E222" s="105"/>
      <c r="F222" s="105"/>
    </row>
    <row r="223" spans="1:6" ht="12.75">
      <c r="A223" s="21" t="s">
        <v>33</v>
      </c>
      <c r="B223" s="22"/>
      <c r="C223" s="102"/>
      <c r="D223" s="105"/>
      <c r="E223" s="105"/>
      <c r="F223" s="105"/>
    </row>
    <row r="224" spans="1:6" ht="12.75">
      <c r="A224" s="25" t="s">
        <v>34</v>
      </c>
      <c r="B224" s="24"/>
      <c r="C224" s="98"/>
      <c r="D224" s="105"/>
      <c r="E224" s="105"/>
      <c r="F224" s="105"/>
    </row>
    <row r="225" spans="1:6" ht="12.75">
      <c r="A225" s="29" t="s">
        <v>35</v>
      </c>
      <c r="B225" s="30"/>
      <c r="C225" s="110">
        <v>7.6</v>
      </c>
      <c r="D225" s="119">
        <f>100*0.027849</f>
        <v>2.7849</v>
      </c>
      <c r="E225" s="119">
        <f>100*0.07287791</f>
        <v>7.287791</v>
      </c>
      <c r="F225" s="119">
        <f>100*0.07987541</f>
        <v>7.987540999999999</v>
      </c>
    </row>
    <row r="226" spans="1:6" ht="12.75">
      <c r="A226" s="29" t="s">
        <v>36</v>
      </c>
      <c r="B226" s="30"/>
      <c r="C226" s="110">
        <v>36.5</v>
      </c>
      <c r="D226" s="119">
        <f>100*0.010341</f>
        <v>1.0341</v>
      </c>
      <c r="E226" s="119">
        <f>100*0.35848791</f>
        <v>35.848791000000006</v>
      </c>
      <c r="F226" s="119">
        <f>100*0.37089472</f>
        <v>37.089472</v>
      </c>
    </row>
    <row r="227" spans="1:6" ht="12.75">
      <c r="A227" s="29" t="s">
        <v>37</v>
      </c>
      <c r="B227" s="30"/>
      <c r="C227" s="113">
        <v>32</v>
      </c>
      <c r="D227" s="119">
        <f>100*0.011266</f>
        <v>1.1266</v>
      </c>
      <c r="E227" s="119">
        <f>100*0.31434504</f>
        <v>31.434504</v>
      </c>
      <c r="F227" s="119">
        <f>100*0.32621572</f>
        <v>32.621572</v>
      </c>
    </row>
    <row r="228" spans="1:6" ht="12.75">
      <c r="A228" s="29" t="s">
        <v>38</v>
      </c>
      <c r="B228" s="30"/>
      <c r="C228" s="110">
        <v>13.6</v>
      </c>
      <c r="D228" s="119">
        <f>100*0.019351</f>
        <v>1.9351</v>
      </c>
      <c r="E228" s="119">
        <f>100*0.13156006</f>
        <v>13.156006000000001</v>
      </c>
      <c r="F228" s="119">
        <f>100*0.14021075</f>
        <v>14.021075</v>
      </c>
    </row>
    <row r="229" spans="1:6" ht="12.75">
      <c r="A229" s="32" t="s">
        <v>39</v>
      </c>
      <c r="B229" s="33"/>
      <c r="C229" s="120">
        <v>10.3</v>
      </c>
      <c r="D229" s="121">
        <f>100*0.023955</f>
        <v>2.3955</v>
      </c>
      <c r="E229" s="121">
        <f>100*0.09871682</f>
        <v>9.871682</v>
      </c>
      <c r="F229" s="121">
        <f>100*0.10681566</f>
        <v>10.681566</v>
      </c>
    </row>
    <row r="230" spans="1:7" ht="12.75">
      <c r="A230" s="34"/>
      <c r="B230" s="34"/>
      <c r="C230" s="34"/>
      <c r="D230" s="15"/>
      <c r="E230" s="15"/>
      <c r="F230" s="15"/>
      <c r="G230" s="15"/>
    </row>
    <row r="231" spans="1:7" ht="12.75">
      <c r="A231" s="35" t="s">
        <v>102</v>
      </c>
      <c r="B231" s="34"/>
      <c r="C231" s="34"/>
      <c r="D231" s="15"/>
      <c r="E231" s="15"/>
      <c r="F231" s="15"/>
      <c r="G231" s="15"/>
    </row>
    <row r="232" spans="1:7" ht="12.75">
      <c r="A232" s="35" t="s">
        <v>103</v>
      </c>
      <c r="B232" s="34"/>
      <c r="C232" s="34"/>
      <c r="D232" s="15"/>
      <c r="E232" s="15"/>
      <c r="F232" s="15"/>
      <c r="G232" s="15"/>
    </row>
    <row r="233" spans="1:7" ht="12.75">
      <c r="A233" s="34" t="s">
        <v>104</v>
      </c>
      <c r="B233" s="34"/>
      <c r="C233" s="34"/>
      <c r="D233" s="15"/>
      <c r="E233" s="15"/>
      <c r="F233" s="15"/>
      <c r="G233" s="15"/>
    </row>
    <row r="234" spans="1:7" ht="12.75">
      <c r="A234" s="35" t="s">
        <v>105</v>
      </c>
      <c r="B234" s="34"/>
      <c r="C234" s="34"/>
      <c r="D234" s="15"/>
      <c r="E234" s="15"/>
      <c r="F234" s="15"/>
      <c r="G234" s="15"/>
    </row>
    <row r="235" spans="1:7" ht="12.75">
      <c r="A235" s="36" t="s">
        <v>91</v>
      </c>
      <c r="B235" s="34"/>
      <c r="C235" s="34"/>
      <c r="D235" s="15"/>
      <c r="E235" s="15"/>
      <c r="F235" s="15"/>
      <c r="G235" s="15"/>
    </row>
    <row r="236" spans="1:7" ht="12.75">
      <c r="A236" s="34"/>
      <c r="B236" s="34"/>
      <c r="C236" s="34"/>
      <c r="D236" s="15"/>
      <c r="E236" s="15"/>
      <c r="F236" s="15"/>
      <c r="G236" s="15"/>
    </row>
    <row r="237" spans="1:7" ht="12.75">
      <c r="A237" s="34" t="s">
        <v>106</v>
      </c>
      <c r="B237" s="34"/>
      <c r="C237" s="34"/>
      <c r="D237" s="15"/>
      <c r="E237" s="15"/>
      <c r="F237" s="15"/>
      <c r="G237" s="15"/>
    </row>
  </sheetData>
  <sheetProtection/>
  <mergeCells count="10">
    <mergeCell ref="A3:A4"/>
    <mergeCell ref="C3:C4"/>
    <mergeCell ref="E3:F3"/>
    <mergeCell ref="A1:F1"/>
    <mergeCell ref="A166:F166"/>
    <mergeCell ref="A168:A169"/>
    <mergeCell ref="C168:C169"/>
    <mergeCell ref="E168:F168"/>
    <mergeCell ref="D3:D4"/>
    <mergeCell ref="D168:D169"/>
  </mergeCells>
  <printOptions/>
  <pageMargins left="0.3937007874015748" right="0.3937007874015748" top="0.3937007874015748" bottom="0.3937007874015748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6"/>
  <sheetViews>
    <sheetView showGridLines="0" zoomScalePageLayoutView="0" workbookViewId="0" topLeftCell="A1">
      <selection activeCell="A1" sqref="A1:E1"/>
    </sheetView>
  </sheetViews>
  <sheetFormatPr defaultColWidth="11.421875" defaultRowHeight="12.75"/>
  <cols>
    <col min="1" max="1" width="62.8515625" style="6" customWidth="1"/>
    <col min="2" max="2" width="18.7109375" style="6" customWidth="1"/>
    <col min="3" max="3" width="14.421875" style="6" customWidth="1"/>
    <col min="4" max="4" width="11.421875" style="6" customWidth="1"/>
    <col min="5" max="5" width="14.57421875" style="6" customWidth="1"/>
    <col min="6" max="16384" width="11.421875" style="6" customWidth="1"/>
  </cols>
  <sheetData>
    <row r="1" spans="1:7" ht="12.75">
      <c r="A1" s="152" t="s">
        <v>124</v>
      </c>
      <c r="B1" s="153"/>
      <c r="C1" s="153"/>
      <c r="D1" s="153"/>
      <c r="E1" s="153"/>
      <c r="F1" s="141"/>
      <c r="G1" s="141"/>
    </row>
    <row r="2" spans="1:6" ht="12.75">
      <c r="A2" s="2"/>
      <c r="B2" s="3"/>
      <c r="C2" s="3"/>
      <c r="D2" s="3"/>
      <c r="E2" s="3"/>
      <c r="F2" s="2"/>
    </row>
    <row r="3" spans="1:6" s="60" customFormat="1" ht="11.25">
      <c r="A3" s="159" t="s">
        <v>113</v>
      </c>
      <c r="B3" s="151" t="s">
        <v>80</v>
      </c>
      <c r="C3" s="151" t="s">
        <v>81</v>
      </c>
      <c r="D3" s="156" t="s">
        <v>84</v>
      </c>
      <c r="E3" s="156"/>
      <c r="F3" s="59"/>
    </row>
    <row r="4" spans="1:6" s="60" customFormat="1" ht="11.25">
      <c r="A4" s="160"/>
      <c r="B4" s="149"/>
      <c r="C4" s="149"/>
      <c r="D4" s="69" t="s">
        <v>82</v>
      </c>
      <c r="E4" s="69" t="s">
        <v>83</v>
      </c>
      <c r="F4" s="59"/>
    </row>
    <row r="5" spans="1:6" s="60" customFormat="1" ht="11.25">
      <c r="A5" s="59"/>
      <c r="B5" s="62"/>
      <c r="C5" s="62"/>
      <c r="D5" s="62"/>
      <c r="E5" s="62"/>
      <c r="F5" s="59"/>
    </row>
    <row r="6" spans="1:6" s="60" customFormat="1" ht="11.25">
      <c r="A6" s="61" t="s">
        <v>40</v>
      </c>
      <c r="B6" s="89">
        <v>27593809</v>
      </c>
      <c r="C6" s="90"/>
      <c r="D6" s="90"/>
      <c r="E6" s="90"/>
      <c r="F6" s="59"/>
    </row>
    <row r="7" spans="1:6" s="60" customFormat="1" ht="11.25">
      <c r="A7" s="63" t="s">
        <v>1</v>
      </c>
      <c r="B7" s="82"/>
      <c r="C7" s="82"/>
      <c r="D7" s="82"/>
      <c r="E7" s="82"/>
      <c r="F7" s="59"/>
    </row>
    <row r="8" spans="1:6" s="60" customFormat="1" ht="11.25">
      <c r="A8" s="63" t="s">
        <v>2</v>
      </c>
      <c r="B8" s="82"/>
      <c r="C8" s="82"/>
      <c r="D8" s="82"/>
      <c r="E8" s="82"/>
      <c r="F8" s="59"/>
    </row>
    <row r="9" spans="1:6" s="60" customFormat="1" ht="11.25">
      <c r="A9" s="59" t="s">
        <v>3</v>
      </c>
      <c r="B9" s="55">
        <v>9.01</v>
      </c>
      <c r="C9" s="55">
        <v>1.4636</v>
      </c>
      <c r="D9" s="55">
        <v>8.78975</v>
      </c>
      <c r="E9" s="55">
        <v>9.223386999999999</v>
      </c>
      <c r="F9" s="59"/>
    </row>
    <row r="10" spans="1:6" s="60" customFormat="1" ht="11.25">
      <c r="A10" s="59" t="s">
        <v>4</v>
      </c>
      <c r="B10" s="55">
        <v>15.51</v>
      </c>
      <c r="C10" s="55">
        <v>1.1015000000000001</v>
      </c>
      <c r="D10" s="55">
        <v>15.22761</v>
      </c>
      <c r="E10" s="55">
        <v>15.789596</v>
      </c>
      <c r="F10" s="59"/>
    </row>
    <row r="11" spans="1:6" s="60" customFormat="1" ht="11.25">
      <c r="A11" s="59" t="s">
        <v>5</v>
      </c>
      <c r="B11" s="55">
        <v>75.48</v>
      </c>
      <c r="C11" s="55">
        <v>0.26120000000000004</v>
      </c>
      <c r="D11" s="55">
        <v>75.15984999999999</v>
      </c>
      <c r="E11" s="55">
        <v>75.808458</v>
      </c>
      <c r="F11" s="59"/>
    </row>
    <row r="12" spans="1:6" s="60" customFormat="1" ht="11.25">
      <c r="A12" s="63" t="s">
        <v>126</v>
      </c>
      <c r="B12" s="82"/>
      <c r="C12" s="55"/>
      <c r="D12" s="55"/>
      <c r="E12" s="55"/>
      <c r="F12" s="59"/>
    </row>
    <row r="13" spans="1:6" s="60" customFormat="1" ht="11.25">
      <c r="A13" s="59" t="s">
        <v>6</v>
      </c>
      <c r="B13" s="71">
        <v>94.9</v>
      </c>
      <c r="C13" s="55">
        <v>1.1342999999999999</v>
      </c>
      <c r="D13" s="55">
        <v>94.20707</v>
      </c>
      <c r="E13" s="55">
        <v>95.45466300000001</v>
      </c>
      <c r="F13" s="59"/>
    </row>
    <row r="14" spans="1:6" s="60" customFormat="1" ht="11.25">
      <c r="A14" s="59" t="s">
        <v>7</v>
      </c>
      <c r="B14" s="71">
        <v>73.8</v>
      </c>
      <c r="C14" s="55">
        <v>0.2664</v>
      </c>
      <c r="D14" s="55">
        <v>73.460512</v>
      </c>
      <c r="E14" s="55">
        <v>74.107184</v>
      </c>
      <c r="F14" s="59"/>
    </row>
    <row r="15" spans="1:6" s="60" customFormat="1" ht="11.25">
      <c r="A15" s="59" t="s">
        <v>8</v>
      </c>
      <c r="B15" s="71">
        <v>21.1</v>
      </c>
      <c r="C15" s="55">
        <v>0.8678999999999999</v>
      </c>
      <c r="D15" s="55">
        <v>20.746558</v>
      </c>
      <c r="E15" s="55">
        <v>21.347479</v>
      </c>
      <c r="F15" s="59"/>
    </row>
    <row r="16" spans="1:6" s="60" customFormat="1" ht="11.25">
      <c r="A16" s="59" t="s">
        <v>9</v>
      </c>
      <c r="B16" s="71">
        <v>5.1</v>
      </c>
      <c r="C16" s="55">
        <v>1.9952</v>
      </c>
      <c r="D16" s="55">
        <v>4.916197</v>
      </c>
      <c r="E16" s="55">
        <v>5.249829999999999</v>
      </c>
      <c r="F16" s="59"/>
    </row>
    <row r="17" spans="1:6" s="60" customFormat="1" ht="11.25">
      <c r="A17" s="63" t="s">
        <v>127</v>
      </c>
      <c r="B17" s="82"/>
      <c r="C17" s="55"/>
      <c r="D17" s="55"/>
      <c r="E17" s="55"/>
      <c r="F17" s="59"/>
    </row>
    <row r="18" spans="1:6" s="60" customFormat="1" ht="11.25">
      <c r="A18" s="59" t="s">
        <v>10</v>
      </c>
      <c r="B18" s="82">
        <f>100-B19</f>
        <v>83.1</v>
      </c>
      <c r="C18" s="55">
        <v>0.22529999999999997</v>
      </c>
      <c r="D18" s="55">
        <v>82.752128</v>
      </c>
      <c r="E18" s="55">
        <v>83.36772099999999</v>
      </c>
      <c r="F18" s="59"/>
    </row>
    <row r="19" spans="1:6" s="60" customFormat="1" ht="11.25">
      <c r="A19" s="59" t="s">
        <v>11</v>
      </c>
      <c r="B19" s="82">
        <v>16.9</v>
      </c>
      <c r="C19" s="55">
        <v>1.1077</v>
      </c>
      <c r="D19" s="55">
        <v>16.564069</v>
      </c>
      <c r="E19" s="55">
        <v>17.178876000000002</v>
      </c>
      <c r="F19" s="59"/>
    </row>
    <row r="20" spans="1:6" s="60" customFormat="1" ht="11.25">
      <c r="A20" s="63" t="s">
        <v>128</v>
      </c>
      <c r="B20" s="82"/>
      <c r="C20" s="55"/>
      <c r="D20" s="55"/>
      <c r="E20" s="55"/>
      <c r="F20" s="59"/>
    </row>
    <row r="21" spans="1:6" s="60" customFormat="1" ht="11.25">
      <c r="A21" s="59" t="s">
        <v>12</v>
      </c>
      <c r="B21" s="82">
        <v>91.8</v>
      </c>
      <c r="C21" s="55">
        <v>0.1545</v>
      </c>
      <c r="D21" s="55">
        <v>91.574153</v>
      </c>
      <c r="E21" s="55">
        <v>92.040836</v>
      </c>
      <c r="F21" s="59"/>
    </row>
    <row r="22" spans="1:6" s="60" customFormat="1" ht="11.25">
      <c r="A22" s="59" t="s">
        <v>13</v>
      </c>
      <c r="B22" s="82">
        <v>8.2</v>
      </c>
      <c r="C22" s="55">
        <v>1.7316000000000003</v>
      </c>
      <c r="D22" s="55">
        <v>7.959164</v>
      </c>
      <c r="E22" s="55">
        <v>8.425847000000001</v>
      </c>
      <c r="F22" s="59"/>
    </row>
    <row r="23" spans="1:6" s="60" customFormat="1" ht="11.25">
      <c r="A23" s="63" t="s">
        <v>14</v>
      </c>
      <c r="B23" s="82"/>
      <c r="C23" s="55"/>
      <c r="D23" s="55"/>
      <c r="E23" s="55"/>
      <c r="F23" s="59"/>
    </row>
    <row r="24" spans="1:6" s="60" customFormat="1" ht="11.25">
      <c r="A24" s="59" t="s">
        <v>15</v>
      </c>
      <c r="B24" s="82">
        <f>100-B28</f>
        <v>96.3</v>
      </c>
      <c r="C24" s="55">
        <v>0.0996</v>
      </c>
      <c r="D24" s="55">
        <v>96.133172</v>
      </c>
      <c r="E24" s="55">
        <v>96.44882299999999</v>
      </c>
      <c r="F24" s="59"/>
    </row>
    <row r="25" spans="1:6" s="60" customFormat="1" ht="11.25">
      <c r="A25" s="59" t="s">
        <v>16</v>
      </c>
      <c r="B25" s="82">
        <v>85.9</v>
      </c>
      <c r="C25" s="55">
        <f>0.02136*100</f>
        <v>2.136</v>
      </c>
      <c r="D25" s="55">
        <f>0.85640735*100</f>
        <v>85.640735</v>
      </c>
      <c r="E25" s="55">
        <f>0.8624477*100</f>
        <v>86.24477</v>
      </c>
      <c r="F25" s="59"/>
    </row>
    <row r="26" spans="1:6" s="60" customFormat="1" ht="11.25">
      <c r="A26" s="59" t="s">
        <v>17</v>
      </c>
      <c r="B26" s="82">
        <v>10.1</v>
      </c>
      <c r="C26" s="55">
        <f>0.016225*100</f>
        <v>1.6225</v>
      </c>
      <c r="D26" s="55">
        <f>0.0987446*100</f>
        <v>9.874460000000001</v>
      </c>
      <c r="E26" s="55">
        <f>0.10415968*100</f>
        <v>10.415968000000001</v>
      </c>
      <c r="F26" s="59"/>
    </row>
    <row r="27" spans="1:6" s="60" customFormat="1" ht="11.25">
      <c r="A27" s="59" t="s">
        <v>18</v>
      </c>
      <c r="B27" s="82">
        <v>0.2</v>
      </c>
      <c r="C27" s="55">
        <f>0.189553*100</f>
        <v>18.9553</v>
      </c>
      <c r="D27" s="55">
        <f>0.00063469*100</f>
        <v>0.063469</v>
      </c>
      <c r="E27" s="55">
        <f>0.00120978*100</f>
        <v>0.12097799999999999</v>
      </c>
      <c r="F27" s="59"/>
    </row>
    <row r="28" spans="1:6" s="60" customFormat="1" ht="11.25">
      <c r="A28" s="59" t="s">
        <v>19</v>
      </c>
      <c r="B28" s="82">
        <v>3.7</v>
      </c>
      <c r="C28" s="55">
        <v>2.5874</v>
      </c>
      <c r="D28" s="55">
        <v>3.550504</v>
      </c>
      <c r="E28" s="55">
        <v>3.8661519999999996</v>
      </c>
      <c r="F28" s="59"/>
    </row>
    <row r="29" spans="1:6" s="60" customFormat="1" ht="11.25">
      <c r="A29" s="59"/>
      <c r="B29" s="82"/>
      <c r="C29" s="55"/>
      <c r="D29" s="55"/>
      <c r="E29" s="55"/>
      <c r="F29" s="59"/>
    </row>
    <row r="30" spans="1:6" s="60" customFormat="1" ht="11.25">
      <c r="A30" s="63" t="s">
        <v>129</v>
      </c>
      <c r="B30" s="82"/>
      <c r="C30" s="55"/>
      <c r="D30" s="55"/>
      <c r="E30" s="55"/>
      <c r="F30" s="59"/>
    </row>
    <row r="31" spans="1:6" s="60" customFormat="1" ht="11.25">
      <c r="A31" s="63" t="s">
        <v>21</v>
      </c>
      <c r="B31" s="82"/>
      <c r="C31" s="55"/>
      <c r="D31" s="55"/>
      <c r="E31" s="55"/>
      <c r="F31" s="59"/>
    </row>
    <row r="32" spans="1:6" s="60" customFormat="1" ht="11.25">
      <c r="A32" s="59" t="s">
        <v>22</v>
      </c>
      <c r="B32" s="82">
        <v>88.3</v>
      </c>
      <c r="C32" s="55">
        <v>0.20010000000000003</v>
      </c>
      <c r="D32" s="55">
        <v>87.987881</v>
      </c>
      <c r="E32" s="55">
        <v>88.568957</v>
      </c>
      <c r="F32" s="59"/>
    </row>
    <row r="33" spans="1:6" s="60" customFormat="1" ht="11.25">
      <c r="A33" s="59" t="s">
        <v>23</v>
      </c>
      <c r="B33" s="82">
        <v>11.7</v>
      </c>
      <c r="C33" s="55">
        <v>1.5069000000000001</v>
      </c>
      <c r="D33" s="55">
        <v>11.431043</v>
      </c>
      <c r="E33" s="55">
        <v>12.012119</v>
      </c>
      <c r="F33" s="59"/>
    </row>
    <row r="34" spans="1:6" s="60" customFormat="1" ht="11.25">
      <c r="A34" s="63" t="s">
        <v>24</v>
      </c>
      <c r="B34" s="82"/>
      <c r="C34" s="55"/>
      <c r="D34" s="55"/>
      <c r="E34" s="55"/>
      <c r="F34" s="59"/>
    </row>
    <row r="35" spans="1:6" s="60" customFormat="1" ht="11.25">
      <c r="A35" s="59" t="s">
        <v>22</v>
      </c>
      <c r="B35" s="82">
        <v>65.7</v>
      </c>
      <c r="C35" s="55">
        <v>0.3258</v>
      </c>
      <c r="D35" s="55">
        <v>65.576829</v>
      </c>
      <c r="E35" s="55">
        <v>66.28353299999999</v>
      </c>
      <c r="F35" s="59"/>
    </row>
    <row r="36" spans="1:6" s="60" customFormat="1" ht="11.25">
      <c r="A36" s="59" t="s">
        <v>23</v>
      </c>
      <c r="B36" s="82">
        <v>34.3</v>
      </c>
      <c r="C36" s="55">
        <v>0.6305</v>
      </c>
      <c r="D36" s="55">
        <v>33.716467</v>
      </c>
      <c r="E36" s="55">
        <v>34.423171</v>
      </c>
      <c r="F36" s="59"/>
    </row>
    <row r="37" spans="1:6" s="60" customFormat="1" ht="11.25">
      <c r="A37" s="63" t="s">
        <v>25</v>
      </c>
      <c r="B37" s="82"/>
      <c r="C37" s="55"/>
      <c r="D37" s="55"/>
      <c r="E37" s="55"/>
      <c r="F37" s="59"/>
    </row>
    <row r="38" spans="1:6" s="60" customFormat="1" ht="11.25">
      <c r="A38" s="59" t="s">
        <v>22</v>
      </c>
      <c r="B38" s="82">
        <v>66.1</v>
      </c>
      <c r="C38" s="55">
        <v>0.3058</v>
      </c>
      <c r="D38" s="55">
        <v>65.798388</v>
      </c>
      <c r="E38" s="55">
        <v>66.46356399999999</v>
      </c>
      <c r="F38" s="59"/>
    </row>
    <row r="39" spans="1:6" s="60" customFormat="1" ht="11.25">
      <c r="A39" s="59" t="s">
        <v>23</v>
      </c>
      <c r="B39" s="82">
        <v>33.9</v>
      </c>
      <c r="C39" s="55">
        <v>0.597</v>
      </c>
      <c r="D39" s="55">
        <v>33.536435999999995</v>
      </c>
      <c r="E39" s="55">
        <v>34.201612</v>
      </c>
      <c r="F39" s="59"/>
    </row>
    <row r="40" spans="1:6" s="60" customFormat="1" ht="11.25">
      <c r="A40" s="59"/>
      <c r="B40" s="82"/>
      <c r="C40" s="55"/>
      <c r="D40" s="55"/>
      <c r="E40" s="55"/>
      <c r="F40" s="59"/>
    </row>
    <row r="41" spans="1:6" s="60" customFormat="1" ht="11.25">
      <c r="A41" s="59" t="s">
        <v>26</v>
      </c>
      <c r="B41" s="55">
        <v>50.06973702510363</v>
      </c>
      <c r="C41" s="55">
        <v>0.4286</v>
      </c>
      <c r="D41" s="55">
        <v>49.664547</v>
      </c>
      <c r="E41" s="55">
        <v>50.369803999999995</v>
      </c>
      <c r="F41" s="59"/>
    </row>
    <row r="42" spans="1:6" s="60" customFormat="1" ht="11.25">
      <c r="A42" s="59"/>
      <c r="B42" s="82"/>
      <c r="C42" s="55"/>
      <c r="D42" s="55"/>
      <c r="E42" s="55"/>
      <c r="F42" s="59"/>
    </row>
    <row r="43" spans="1:6" s="60" customFormat="1" ht="11.25">
      <c r="A43" s="63" t="s">
        <v>27</v>
      </c>
      <c r="B43" s="82"/>
      <c r="C43" s="55"/>
      <c r="D43" s="55"/>
      <c r="E43" s="55"/>
      <c r="F43" s="59"/>
    </row>
    <row r="44" spans="1:6" s="60" customFormat="1" ht="11.25">
      <c r="A44" s="59" t="s">
        <v>86</v>
      </c>
      <c r="B44" s="55">
        <v>7.728262524394512</v>
      </c>
      <c r="C44" s="55">
        <v>1.6089</v>
      </c>
      <c r="D44" s="55">
        <v>7.523745</v>
      </c>
      <c r="E44" s="55">
        <v>7.93278</v>
      </c>
      <c r="F44" s="59"/>
    </row>
    <row r="45" spans="1:6" s="60" customFormat="1" ht="11.25">
      <c r="A45" s="59" t="s">
        <v>87</v>
      </c>
      <c r="B45" s="55">
        <v>13.216363134208837</v>
      </c>
      <c r="C45" s="55">
        <v>1.3296999999999999</v>
      </c>
      <c r="D45" s="55">
        <v>12.9273</v>
      </c>
      <c r="E45" s="55">
        <v>13.505426000000002</v>
      </c>
      <c r="F45" s="59"/>
    </row>
    <row r="46" spans="1:6" s="60" customFormat="1" ht="11.25">
      <c r="A46" s="59"/>
      <c r="B46" s="82"/>
      <c r="C46" s="55"/>
      <c r="D46" s="55"/>
      <c r="E46" s="55"/>
      <c r="F46" s="59"/>
    </row>
    <row r="47" spans="1:6" s="60" customFormat="1" ht="11.25">
      <c r="A47" s="63" t="s">
        <v>130</v>
      </c>
      <c r="B47" s="82"/>
      <c r="C47" s="55"/>
      <c r="D47" s="55"/>
      <c r="E47" s="55"/>
      <c r="F47" s="59"/>
    </row>
    <row r="48" spans="1:6" s="60" customFormat="1" ht="11.25">
      <c r="A48" s="59" t="s">
        <v>28</v>
      </c>
      <c r="B48" s="82">
        <v>66.3</v>
      </c>
      <c r="C48" s="55">
        <v>0.3192</v>
      </c>
      <c r="D48" s="55">
        <v>65.935645</v>
      </c>
      <c r="E48" s="55">
        <v>66.63169500000001</v>
      </c>
      <c r="F48" s="59"/>
    </row>
    <row r="49" spans="1:6" s="60" customFormat="1" ht="11.25">
      <c r="A49" s="59" t="s">
        <v>29</v>
      </c>
      <c r="B49" s="82">
        <v>5.7</v>
      </c>
      <c r="C49" s="55">
        <v>1.9431</v>
      </c>
      <c r="D49" s="55">
        <v>5.510464000000001</v>
      </c>
      <c r="E49" s="55">
        <v>5.874333</v>
      </c>
      <c r="F49" s="59"/>
    </row>
    <row r="50" spans="1:6" s="60" customFormat="1" ht="11.25">
      <c r="A50" s="59" t="s">
        <v>30</v>
      </c>
      <c r="B50" s="82">
        <v>16.1</v>
      </c>
      <c r="C50" s="55">
        <v>0.9927</v>
      </c>
      <c r="D50" s="55">
        <v>15.791181000000002</v>
      </c>
      <c r="E50" s="55">
        <v>16.31544</v>
      </c>
      <c r="F50" s="59"/>
    </row>
    <row r="51" spans="1:6" s="60" customFormat="1" ht="11.25">
      <c r="A51" s="59" t="s">
        <v>31</v>
      </c>
      <c r="B51" s="82">
        <v>10.1</v>
      </c>
      <c r="C51" s="55">
        <v>1.3700999999999999</v>
      </c>
      <c r="D51" s="55">
        <v>9.909175000000001</v>
      </c>
      <c r="E51" s="55">
        <v>10.366104</v>
      </c>
      <c r="F51" s="59"/>
    </row>
    <row r="52" spans="1:6" s="60" customFormat="1" ht="11.25">
      <c r="A52" s="59" t="s">
        <v>32</v>
      </c>
      <c r="B52" s="82">
        <v>1.8</v>
      </c>
      <c r="C52" s="55">
        <v>3.1498</v>
      </c>
      <c r="D52" s="55">
        <v>1.6716330000000001</v>
      </c>
      <c r="E52" s="55">
        <v>1.854312</v>
      </c>
      <c r="F52" s="59"/>
    </row>
    <row r="53" spans="1:6" s="60" customFormat="1" ht="11.25">
      <c r="A53" s="63" t="s">
        <v>41</v>
      </c>
      <c r="B53" s="82"/>
      <c r="C53" s="55"/>
      <c r="D53" s="55"/>
      <c r="E53" s="55"/>
      <c r="F53" s="59"/>
    </row>
    <row r="54" spans="1:6" s="60" customFormat="1" ht="11.25">
      <c r="A54" s="63" t="s">
        <v>42</v>
      </c>
      <c r="B54" s="82"/>
      <c r="C54" s="55"/>
      <c r="D54" s="55"/>
      <c r="E54" s="55"/>
      <c r="F54" s="59"/>
    </row>
    <row r="55" spans="1:6" s="60" customFormat="1" ht="11.25">
      <c r="A55" s="59" t="s">
        <v>43</v>
      </c>
      <c r="B55" s="82">
        <v>69.5</v>
      </c>
      <c r="C55" s="55">
        <v>0.2952</v>
      </c>
      <c r="D55" s="55">
        <v>69.148806</v>
      </c>
      <c r="E55" s="55">
        <v>69.823708</v>
      </c>
      <c r="F55" s="59"/>
    </row>
    <row r="56" spans="1:6" s="60" customFormat="1" ht="11.25">
      <c r="A56" s="59" t="s">
        <v>44</v>
      </c>
      <c r="B56" s="82">
        <v>30</v>
      </c>
      <c r="C56" s="55">
        <v>0.6798000000000001</v>
      </c>
      <c r="D56" s="55">
        <v>29.623137999999997</v>
      </c>
      <c r="E56" s="55">
        <v>30.293156999999997</v>
      </c>
      <c r="F56" s="59"/>
    </row>
    <row r="57" spans="1:6" s="60" customFormat="1" ht="11.25">
      <c r="A57" s="59" t="s">
        <v>45</v>
      </c>
      <c r="B57" s="82">
        <v>0.5</v>
      </c>
      <c r="C57" s="55">
        <v>7.3895</v>
      </c>
      <c r="D57" s="55">
        <v>0.48806400000000005</v>
      </c>
      <c r="E57" s="55">
        <v>0.623127</v>
      </c>
      <c r="F57" s="59"/>
    </row>
    <row r="58" spans="1:6" s="60" customFormat="1" ht="11.25">
      <c r="A58" s="63" t="s">
        <v>46</v>
      </c>
      <c r="B58" s="82"/>
      <c r="C58" s="55"/>
      <c r="D58" s="55"/>
      <c r="E58" s="55"/>
      <c r="F58" s="59"/>
    </row>
    <row r="59" spans="1:6" s="60" customFormat="1" ht="11.25">
      <c r="A59" s="63" t="s">
        <v>47</v>
      </c>
      <c r="B59" s="82"/>
      <c r="C59" s="55"/>
      <c r="D59" s="55"/>
      <c r="E59" s="55"/>
      <c r="F59" s="59"/>
    </row>
    <row r="60" spans="1:6" s="60" customFormat="1" ht="11.25">
      <c r="A60" s="59" t="s">
        <v>48</v>
      </c>
      <c r="B60" s="82">
        <v>71.2</v>
      </c>
      <c r="C60" s="55">
        <f>0.0392*100</f>
        <v>3.92</v>
      </c>
      <c r="D60" s="55">
        <f>0.70773006*100</f>
        <v>70.77300600000001</v>
      </c>
      <c r="E60" s="55">
        <f>0.71691596*100</f>
        <v>71.691596</v>
      </c>
      <c r="F60" s="59"/>
    </row>
    <row r="61" spans="1:6" s="60" customFormat="1" ht="11.25">
      <c r="A61" s="59" t="s">
        <v>49</v>
      </c>
      <c r="B61" s="82">
        <v>28.2</v>
      </c>
      <c r="C61" s="55">
        <f>0.009814*100</f>
        <v>0.9813999999999999</v>
      </c>
      <c r="D61" s="55">
        <f>0.27756472*100</f>
        <v>27.756472</v>
      </c>
      <c r="E61" s="55">
        <f>0.2866731*100</f>
        <v>28.66731</v>
      </c>
      <c r="F61" s="59"/>
    </row>
    <row r="62" spans="1:6" s="60" customFormat="1" ht="11.25">
      <c r="A62" s="59" t="s">
        <v>50</v>
      </c>
      <c r="B62" s="55">
        <v>0.555807819175704</v>
      </c>
      <c r="C62" s="55">
        <f>0.102801*100</f>
        <v>10.280100000000001</v>
      </c>
      <c r="D62" s="55">
        <f>0.0046*100</f>
        <v>0.45999999999999996</v>
      </c>
      <c r="E62" s="55">
        <f>0.00649*100</f>
        <v>0.649</v>
      </c>
      <c r="F62" s="59"/>
    </row>
    <row r="63" spans="1:6" s="60" customFormat="1" ht="11.25">
      <c r="A63" s="63" t="s">
        <v>51</v>
      </c>
      <c r="B63" s="82"/>
      <c r="C63" s="55"/>
      <c r="D63" s="55"/>
      <c r="E63" s="55"/>
      <c r="F63" s="59"/>
    </row>
    <row r="64" spans="1:6" s="60" customFormat="1" ht="11.25">
      <c r="A64" s="59" t="s">
        <v>48</v>
      </c>
      <c r="B64" s="82">
        <v>67.6</v>
      </c>
      <c r="C64" s="55">
        <f>0.004458*100</f>
        <v>0.44580000000000003</v>
      </c>
      <c r="D64" s="55">
        <f>0.67095647*100</f>
        <v>67.095647</v>
      </c>
      <c r="E64" s="55">
        <f>0.68087009*100</f>
        <v>68.087009</v>
      </c>
      <c r="F64" s="59"/>
    </row>
    <row r="65" spans="1:6" s="60" customFormat="1" ht="11.25">
      <c r="A65" s="59" t="s">
        <v>49</v>
      </c>
      <c r="B65" s="82">
        <v>31.9</v>
      </c>
      <c r="C65" s="55">
        <f>0.009403*100</f>
        <v>0.9403</v>
      </c>
      <c r="D65" s="55">
        <f>0.31360632*100</f>
        <v>31.360632</v>
      </c>
      <c r="E65" s="55">
        <f>0.3234598*100</f>
        <v>32.345980000000004</v>
      </c>
      <c r="F65" s="59"/>
    </row>
    <row r="66" spans="1:6" s="60" customFormat="1" ht="11.25">
      <c r="A66" s="59" t="s">
        <v>50</v>
      </c>
      <c r="B66" s="82">
        <v>0.5</v>
      </c>
      <c r="C66" s="55">
        <f>0.106289*100</f>
        <v>10.6289</v>
      </c>
      <c r="D66" s="55">
        <f>0.0045827*100</f>
        <v>0.45827</v>
      </c>
      <c r="E66" s="55">
        <f>0.00652461*100</f>
        <v>0.652461</v>
      </c>
      <c r="F66" s="59"/>
    </row>
    <row r="67" spans="1:6" s="60" customFormat="1" ht="11.25">
      <c r="A67" s="63" t="s">
        <v>52</v>
      </c>
      <c r="B67" s="82"/>
      <c r="C67" s="55"/>
      <c r="D67" s="55"/>
      <c r="E67" s="55"/>
      <c r="F67" s="59"/>
    </row>
    <row r="68" spans="1:6" s="60" customFormat="1" ht="11.25">
      <c r="A68" s="63" t="s">
        <v>53</v>
      </c>
      <c r="B68" s="82"/>
      <c r="C68" s="55"/>
      <c r="D68" s="55"/>
      <c r="E68" s="55"/>
      <c r="F68" s="59"/>
    </row>
    <row r="69" spans="1:6" s="60" customFormat="1" ht="11.25">
      <c r="A69" s="59" t="s">
        <v>48</v>
      </c>
      <c r="B69" s="82">
        <v>60.3</v>
      </c>
      <c r="C69" s="55">
        <f>0.006935*100</f>
        <v>0.6935</v>
      </c>
      <c r="D69" s="55">
        <f>0.59629004*100</f>
        <v>59.629003999999995</v>
      </c>
      <c r="E69" s="55">
        <f>0.61005057*100</f>
        <v>61.005056999999994</v>
      </c>
      <c r="F69" s="59"/>
    </row>
    <row r="70" spans="1:6" s="60" customFormat="1" ht="11.25">
      <c r="A70" s="59" t="s">
        <v>49</v>
      </c>
      <c r="B70" s="82">
        <v>39</v>
      </c>
      <c r="C70" s="55">
        <f>0.010677*100</f>
        <v>1.0677</v>
      </c>
      <c r="D70" s="55">
        <f>0.38345675*100</f>
        <v>38.345675</v>
      </c>
      <c r="E70" s="55">
        <f>0.39716699*100</f>
        <v>39.716699</v>
      </c>
      <c r="F70" s="59"/>
    </row>
    <row r="71" spans="1:6" s="60" customFormat="1" ht="11.25">
      <c r="A71" s="59" t="s">
        <v>50</v>
      </c>
      <c r="B71" s="55">
        <v>0.651782450418529</v>
      </c>
      <c r="C71" s="55">
        <f>0.132151*100</f>
        <v>13.2151</v>
      </c>
      <c r="D71" s="55">
        <f>0.00510101*100</f>
        <v>0.5101009999999999</v>
      </c>
      <c r="E71" s="55">
        <f>0.00793464*100</f>
        <v>0.793464</v>
      </c>
      <c r="F71" s="59"/>
    </row>
    <row r="72" spans="1:6" s="60" customFormat="1" ht="11.25">
      <c r="A72" s="63" t="s">
        <v>54</v>
      </c>
      <c r="B72" s="82"/>
      <c r="C72" s="55"/>
      <c r="D72" s="55"/>
      <c r="E72" s="55"/>
      <c r="F72" s="59"/>
    </row>
    <row r="73" spans="1:6" s="60" customFormat="1" ht="11.25">
      <c r="A73" s="59" t="s">
        <v>48</v>
      </c>
      <c r="B73" s="82">
        <v>67.3</v>
      </c>
      <c r="C73" s="55">
        <f>0.003999*100</f>
        <v>0.3999</v>
      </c>
      <c r="D73" s="55">
        <f>0.66868639*100</f>
        <v>66.868639</v>
      </c>
      <c r="E73" s="55">
        <f>0.67754068*100</f>
        <v>67.754068</v>
      </c>
      <c r="F73" s="59"/>
    </row>
    <row r="74" spans="1:6" s="60" customFormat="1" ht="11.25">
      <c r="A74" s="59" t="s">
        <v>49</v>
      </c>
      <c r="B74" s="82">
        <v>32.1</v>
      </c>
      <c r="C74" s="55">
        <f>0.008337*100</f>
        <v>0.8337000000000001</v>
      </c>
      <c r="D74" s="55">
        <f>0.31626904*100</f>
        <v>31.626904</v>
      </c>
      <c r="E74" s="55">
        <f>0.32506366*100</f>
        <v>32.506366</v>
      </c>
      <c r="F74" s="59"/>
    </row>
    <row r="75" spans="1:6" s="60" customFormat="1" ht="11.25">
      <c r="A75" s="59" t="s">
        <v>50</v>
      </c>
      <c r="B75" s="55">
        <v>0.6220113005070762</v>
      </c>
      <c r="C75" s="55">
        <f>0.089582*100</f>
        <v>8.9582</v>
      </c>
      <c r="D75" s="55">
        <f>0.00530358*100</f>
        <v>0.530358</v>
      </c>
      <c r="E75" s="55">
        <f>0.00713665*100</f>
        <v>0.713665</v>
      </c>
      <c r="F75" s="59"/>
    </row>
    <row r="76" spans="1:6" s="60" customFormat="1" ht="11.25">
      <c r="A76" s="63" t="s">
        <v>55</v>
      </c>
      <c r="B76" s="82"/>
      <c r="C76" s="55"/>
      <c r="D76" s="55"/>
      <c r="E76" s="55"/>
      <c r="F76" s="59"/>
    </row>
    <row r="77" spans="1:6" s="60" customFormat="1" ht="11.25">
      <c r="A77" s="59" t="s">
        <v>48</v>
      </c>
      <c r="B77" s="82">
        <v>97.7</v>
      </c>
      <c r="C77" s="55">
        <f>0.001932*100</f>
        <v>0.19319999999999998</v>
      </c>
      <c r="D77" s="55">
        <f>0.97396488*100</f>
        <v>97.396488</v>
      </c>
      <c r="E77" s="55">
        <f>0.98017534*100</f>
        <v>98.017534</v>
      </c>
      <c r="F77" s="59"/>
    </row>
    <row r="78" spans="1:6" s="60" customFormat="1" ht="11.25">
      <c r="A78" s="59" t="s">
        <v>49</v>
      </c>
      <c r="B78" s="82">
        <v>2.2</v>
      </c>
      <c r="C78" s="55">
        <f>0.082227*100</f>
        <v>8.2227</v>
      </c>
      <c r="D78" s="55">
        <f>0.01929531*100</f>
        <v>1.9295309999999999</v>
      </c>
      <c r="E78" s="55">
        <f>0.2533152*100</f>
        <v>25.33152</v>
      </c>
      <c r="F78" s="59"/>
    </row>
    <row r="79" spans="1:6" s="60" customFormat="1" ht="11.25">
      <c r="A79" s="59" t="s">
        <v>50</v>
      </c>
      <c r="B79" s="55">
        <v>0.06164697433862716</v>
      </c>
      <c r="C79" s="55">
        <f>0.738751*100</f>
        <v>73.8751</v>
      </c>
      <c r="D79" s="55">
        <v>0</v>
      </c>
      <c r="E79" s="55">
        <f>0.00136561*100</f>
        <v>0.136561</v>
      </c>
      <c r="F79" s="59"/>
    </row>
    <row r="80" spans="1:6" s="60" customFormat="1" ht="11.25">
      <c r="A80" s="59"/>
      <c r="B80" s="82"/>
      <c r="C80" s="82"/>
      <c r="D80" s="82"/>
      <c r="E80" s="82"/>
      <c r="F80" s="59"/>
    </row>
    <row r="81" spans="1:6" s="60" customFormat="1" ht="11.25">
      <c r="A81" s="63" t="s">
        <v>131</v>
      </c>
      <c r="B81" s="82"/>
      <c r="C81" s="82"/>
      <c r="D81" s="82"/>
      <c r="E81" s="82"/>
      <c r="F81" s="59"/>
    </row>
    <row r="82" spans="1:6" s="60" customFormat="1" ht="11.25">
      <c r="A82" s="64" t="s">
        <v>108</v>
      </c>
      <c r="B82" s="82"/>
      <c r="C82" s="82"/>
      <c r="D82" s="82"/>
      <c r="E82" s="82"/>
      <c r="F82" s="59"/>
    </row>
    <row r="83" spans="1:6" s="60" customFormat="1" ht="11.25">
      <c r="A83" s="59" t="s">
        <v>35</v>
      </c>
      <c r="B83" s="82">
        <v>6.1</v>
      </c>
      <c r="C83" s="55">
        <v>3.8903</v>
      </c>
      <c r="D83" s="55">
        <v>5.691428</v>
      </c>
      <c r="E83" s="55">
        <v>6.4696370000000005</v>
      </c>
      <c r="F83" s="59"/>
    </row>
    <row r="84" spans="1:6" s="60" customFormat="1" ht="11.25">
      <c r="A84" s="59" t="s">
        <v>36</v>
      </c>
      <c r="B84" s="82">
        <v>43</v>
      </c>
      <c r="C84" s="55">
        <v>1.1076000000000001</v>
      </c>
      <c r="D84" s="55">
        <v>42.245782999999996</v>
      </c>
      <c r="E84" s="55">
        <v>43.813766</v>
      </c>
      <c r="F84" s="59"/>
    </row>
    <row r="85" spans="1:6" s="60" customFormat="1" ht="11.25">
      <c r="A85" s="59" t="s">
        <v>37</v>
      </c>
      <c r="B85" s="82">
        <v>33.1</v>
      </c>
      <c r="C85" s="55">
        <v>1.3417000000000001</v>
      </c>
      <c r="D85" s="55">
        <v>32.325959999999995</v>
      </c>
      <c r="E85" s="55">
        <v>33.78505</v>
      </c>
      <c r="F85" s="59"/>
    </row>
    <row r="86" spans="1:6" s="60" customFormat="1" ht="11.25">
      <c r="A86" s="59" t="s">
        <v>38</v>
      </c>
      <c r="B86" s="82">
        <v>9.9</v>
      </c>
      <c r="C86" s="55">
        <v>2.7453000000000003</v>
      </c>
      <c r="D86" s="55">
        <v>9.508664</v>
      </c>
      <c r="E86" s="55">
        <v>10.40807</v>
      </c>
      <c r="F86" s="59"/>
    </row>
    <row r="87" spans="1:6" s="60" customFormat="1" ht="11.25">
      <c r="A87" s="59" t="s">
        <v>39</v>
      </c>
      <c r="B87" s="82">
        <v>7.9</v>
      </c>
      <c r="C87" s="55">
        <v>2.7453000000000003</v>
      </c>
      <c r="D87" s="55">
        <v>9.508664</v>
      </c>
      <c r="E87" s="55">
        <v>10.40807</v>
      </c>
      <c r="F87" s="59"/>
    </row>
    <row r="88" spans="1:6" s="60" customFormat="1" ht="11.25">
      <c r="A88" s="63" t="s">
        <v>56</v>
      </c>
      <c r="B88" s="82"/>
      <c r="C88" s="82"/>
      <c r="D88" s="82"/>
      <c r="E88" s="82"/>
      <c r="F88" s="59"/>
    </row>
    <row r="89" spans="1:6" s="60" customFormat="1" ht="11.25">
      <c r="A89" s="59" t="s">
        <v>57</v>
      </c>
      <c r="B89" s="82">
        <v>95.2</v>
      </c>
      <c r="C89" s="82">
        <v>0.2</v>
      </c>
      <c r="D89" s="55">
        <v>94.803731</v>
      </c>
      <c r="E89" s="55">
        <v>95.530346</v>
      </c>
      <c r="F89" s="59"/>
    </row>
    <row r="90" spans="1:6" s="60" customFormat="1" ht="11.25">
      <c r="A90" s="59" t="s">
        <v>58</v>
      </c>
      <c r="B90" s="82">
        <v>4.8</v>
      </c>
      <c r="C90" s="82">
        <v>4.6</v>
      </c>
      <c r="D90" s="55">
        <v>4.469654</v>
      </c>
      <c r="E90" s="55">
        <v>5.196269</v>
      </c>
      <c r="F90" s="59"/>
    </row>
    <row r="91" spans="1:6" s="60" customFormat="1" ht="11.25">
      <c r="A91" s="63" t="s">
        <v>52</v>
      </c>
      <c r="B91" s="82"/>
      <c r="C91" s="82"/>
      <c r="D91" s="82"/>
      <c r="E91" s="82"/>
      <c r="F91" s="59"/>
    </row>
    <row r="92" spans="1:6" s="60" customFormat="1" ht="11.25">
      <c r="A92" s="59" t="s">
        <v>59</v>
      </c>
      <c r="B92" s="82"/>
      <c r="C92" s="82"/>
      <c r="D92" s="82"/>
      <c r="E92" s="82"/>
      <c r="F92" s="59"/>
    </row>
    <row r="93" spans="1:6" s="60" customFormat="1" ht="11.25">
      <c r="A93" s="59" t="s">
        <v>57</v>
      </c>
      <c r="B93" s="82">
        <v>82</v>
      </c>
      <c r="C93" s="82">
        <v>1.6</v>
      </c>
      <c r="D93" s="55">
        <v>79.81273</v>
      </c>
      <c r="E93" s="55">
        <v>84.198324</v>
      </c>
      <c r="F93" s="59"/>
    </row>
    <row r="94" spans="1:6" s="60" customFormat="1" ht="11.25">
      <c r="A94" s="59" t="s">
        <v>58</v>
      </c>
      <c r="B94" s="82">
        <v>18</v>
      </c>
      <c r="C94" s="82">
        <v>7.4</v>
      </c>
      <c r="D94" s="55">
        <v>15.801676</v>
      </c>
      <c r="E94" s="55">
        <v>20.187269999999998</v>
      </c>
      <c r="F94" s="59"/>
    </row>
    <row r="95" spans="1:6" s="60" customFormat="1" ht="11.25">
      <c r="A95" s="59" t="s">
        <v>60</v>
      </c>
      <c r="B95" s="82"/>
      <c r="C95" s="82"/>
      <c r="D95" s="82"/>
      <c r="E95" s="82"/>
      <c r="F95" s="59"/>
    </row>
    <row r="96" spans="1:6" s="60" customFormat="1" ht="11.25">
      <c r="A96" s="59" t="s">
        <v>57</v>
      </c>
      <c r="B96" s="82">
        <v>98.3</v>
      </c>
      <c r="C96" s="82">
        <v>0.2</v>
      </c>
      <c r="D96" s="55">
        <v>97.983097</v>
      </c>
      <c r="E96" s="55">
        <v>98.569053</v>
      </c>
      <c r="F96" s="59"/>
    </row>
    <row r="97" spans="1:6" s="60" customFormat="1" ht="11.25">
      <c r="A97" s="59" t="s">
        <v>58</v>
      </c>
      <c r="B97" s="82">
        <v>1.7</v>
      </c>
      <c r="C97" s="82">
        <v>10.3</v>
      </c>
      <c r="D97" s="55">
        <v>1.430947</v>
      </c>
      <c r="E97" s="55">
        <v>2.016903</v>
      </c>
      <c r="F97" s="59"/>
    </row>
    <row r="98" spans="1:6" s="60" customFormat="1" ht="11.25">
      <c r="A98" s="59" t="s">
        <v>61</v>
      </c>
      <c r="B98" s="82"/>
      <c r="C98" s="82"/>
      <c r="D98" s="82"/>
      <c r="E98" s="82"/>
      <c r="F98" s="59"/>
    </row>
    <row r="99" spans="1:6" s="60" customFormat="1" ht="11.25">
      <c r="A99" s="59" t="s">
        <v>57</v>
      </c>
      <c r="B99" s="82">
        <v>89.6</v>
      </c>
      <c r="C99" s="82">
        <v>0.7</v>
      </c>
      <c r="D99" s="55">
        <v>88.503778</v>
      </c>
      <c r="E99" s="55">
        <v>90.67892499999999</v>
      </c>
      <c r="F99" s="59"/>
    </row>
    <row r="100" spans="1:6" s="60" customFormat="1" ht="11.25">
      <c r="A100" s="59" t="s">
        <v>58</v>
      </c>
      <c r="B100" s="82">
        <v>10.4</v>
      </c>
      <c r="C100" s="82">
        <v>6.4</v>
      </c>
      <c r="D100" s="55">
        <v>9.321074999999999</v>
      </c>
      <c r="E100" s="55">
        <v>11.496222</v>
      </c>
      <c r="F100" s="59"/>
    </row>
    <row r="101" spans="1:6" s="60" customFormat="1" ht="11.25">
      <c r="A101" s="63" t="s">
        <v>62</v>
      </c>
      <c r="B101" s="82"/>
      <c r="C101" s="82"/>
      <c r="D101" s="82"/>
      <c r="E101" s="82"/>
      <c r="F101" s="59"/>
    </row>
    <row r="102" spans="1:6" s="60" customFormat="1" ht="11.25">
      <c r="A102" s="63" t="s">
        <v>35</v>
      </c>
      <c r="B102" s="82"/>
      <c r="C102" s="82"/>
      <c r="D102" s="82"/>
      <c r="E102" s="82"/>
      <c r="F102" s="59"/>
    </row>
    <row r="103" spans="1:6" s="60" customFormat="1" ht="11.25">
      <c r="A103" s="59" t="s">
        <v>57</v>
      </c>
      <c r="B103" s="82">
        <v>89.6</v>
      </c>
      <c r="C103" s="82">
        <v>1.4</v>
      </c>
      <c r="D103" s="82">
        <v>87.6</v>
      </c>
      <c r="E103" s="82">
        <v>91.7</v>
      </c>
      <c r="F103" s="59"/>
    </row>
    <row r="104" spans="1:6" s="60" customFormat="1" ht="11.25">
      <c r="A104" s="59" t="s">
        <v>58</v>
      </c>
      <c r="B104" s="82">
        <v>10.4</v>
      </c>
      <c r="C104" s="82">
        <v>11.9</v>
      </c>
      <c r="D104" s="82">
        <v>8.3</v>
      </c>
      <c r="E104" s="82">
        <v>12.4</v>
      </c>
      <c r="F104" s="59"/>
    </row>
    <row r="105" spans="1:6" s="60" customFormat="1" ht="11.25">
      <c r="A105" s="63" t="s">
        <v>36</v>
      </c>
      <c r="B105" s="82"/>
      <c r="C105" s="82"/>
      <c r="D105" s="82"/>
      <c r="E105" s="82"/>
      <c r="F105" s="59"/>
    </row>
    <row r="106" spans="1:6" s="60" customFormat="1" ht="11.25">
      <c r="A106" s="59" t="s">
        <v>57</v>
      </c>
      <c r="B106" s="82">
        <v>93.2</v>
      </c>
      <c r="C106" s="55">
        <v>0.4237</v>
      </c>
      <c r="D106" s="55">
        <v>92.507439</v>
      </c>
      <c r="E106" s="55">
        <v>93.806014</v>
      </c>
      <c r="F106" s="59"/>
    </row>
    <row r="107" spans="1:6" s="60" customFormat="1" ht="11.25">
      <c r="A107" s="59" t="s">
        <v>58</v>
      </c>
      <c r="B107" s="82">
        <v>6.8</v>
      </c>
      <c r="C107" s="55">
        <v>5.7678</v>
      </c>
      <c r="D107" s="55">
        <v>6.193986</v>
      </c>
      <c r="E107" s="55">
        <v>7.492561</v>
      </c>
      <c r="F107" s="59"/>
    </row>
    <row r="108" spans="1:6" s="60" customFormat="1" ht="11.25">
      <c r="A108" s="63" t="s">
        <v>37</v>
      </c>
      <c r="B108" s="82"/>
      <c r="C108" s="91"/>
      <c r="D108" s="91"/>
      <c r="E108" s="91"/>
      <c r="F108" s="59"/>
    </row>
    <row r="109" spans="1:6" s="60" customFormat="1" ht="11.25">
      <c r="A109" s="59" t="s">
        <v>57</v>
      </c>
      <c r="B109" s="82">
        <v>97.2</v>
      </c>
      <c r="C109" s="55">
        <v>0.3274</v>
      </c>
      <c r="D109" s="55">
        <v>96.68383299999999</v>
      </c>
      <c r="E109" s="55">
        <v>97.730797</v>
      </c>
      <c r="F109" s="59"/>
    </row>
    <row r="110" spans="1:6" s="60" customFormat="1" ht="11.25">
      <c r="A110" s="59" t="s">
        <v>58</v>
      </c>
      <c r="B110" s="82">
        <v>2.8</v>
      </c>
      <c r="C110" s="55">
        <v>11.3948</v>
      </c>
      <c r="D110" s="55">
        <v>2.2692029999999996</v>
      </c>
      <c r="E110" s="55">
        <v>3.3161669999999996</v>
      </c>
      <c r="F110" s="59"/>
    </row>
    <row r="111" spans="1:6" s="60" customFormat="1" ht="11.25">
      <c r="A111" s="63" t="s">
        <v>38</v>
      </c>
      <c r="B111" s="82"/>
      <c r="C111" s="82"/>
      <c r="D111" s="82"/>
      <c r="E111" s="82"/>
      <c r="F111" s="59"/>
    </row>
    <row r="112" spans="1:6" s="60" customFormat="1" ht="11.25">
      <c r="A112" s="59" t="s">
        <v>57</v>
      </c>
      <c r="B112" s="82">
        <v>97.7</v>
      </c>
      <c r="C112" s="82">
        <v>0.4</v>
      </c>
      <c r="D112" s="55">
        <v>97.019458</v>
      </c>
      <c r="E112" s="55">
        <v>98.38677</v>
      </c>
      <c r="F112" s="59"/>
    </row>
    <row r="113" spans="1:6" s="60" customFormat="1" ht="11.25">
      <c r="A113" s="59" t="s">
        <v>58</v>
      </c>
      <c r="B113" s="82" t="s">
        <v>89</v>
      </c>
      <c r="C113" s="92" t="s">
        <v>89</v>
      </c>
      <c r="D113" s="92" t="s">
        <v>89</v>
      </c>
      <c r="E113" s="92" t="s">
        <v>89</v>
      </c>
      <c r="F113" s="59"/>
    </row>
    <row r="114" spans="1:6" s="60" customFormat="1" ht="11.25">
      <c r="A114" s="63" t="s">
        <v>39</v>
      </c>
      <c r="B114" s="82"/>
      <c r="C114" s="82"/>
      <c r="D114" s="82"/>
      <c r="E114" s="82"/>
      <c r="F114" s="59"/>
    </row>
    <row r="115" spans="1:6" s="60" customFormat="1" ht="11.25">
      <c r="A115" s="59" t="s">
        <v>57</v>
      </c>
      <c r="B115" s="82">
        <v>98.7</v>
      </c>
      <c r="C115" s="82">
        <v>0.4</v>
      </c>
      <c r="D115" s="55">
        <v>98.057686</v>
      </c>
      <c r="E115" s="55">
        <v>99.343328</v>
      </c>
      <c r="F115" s="59"/>
    </row>
    <row r="116" spans="1:6" s="60" customFormat="1" ht="11.25">
      <c r="A116" s="59" t="s">
        <v>58</v>
      </c>
      <c r="B116" s="82" t="s">
        <v>89</v>
      </c>
      <c r="C116" s="92" t="s">
        <v>89</v>
      </c>
      <c r="D116" s="92" t="s">
        <v>89</v>
      </c>
      <c r="E116" s="92" t="s">
        <v>89</v>
      </c>
      <c r="F116" s="59"/>
    </row>
    <row r="117" spans="1:6" s="60" customFormat="1" ht="11.25">
      <c r="A117" s="63" t="s">
        <v>63</v>
      </c>
      <c r="B117" s="82"/>
      <c r="C117" s="82"/>
      <c r="D117" s="82"/>
      <c r="E117" s="82"/>
      <c r="F117" s="59"/>
    </row>
    <row r="118" spans="1:6" s="60" customFormat="1" ht="11.25">
      <c r="A118" s="59" t="s">
        <v>57</v>
      </c>
      <c r="B118" s="82">
        <v>47.2</v>
      </c>
      <c r="C118" s="82">
        <v>13.7</v>
      </c>
      <c r="D118" s="82">
        <v>46.2</v>
      </c>
      <c r="E118" s="82">
        <v>48.3</v>
      </c>
      <c r="F118" s="59"/>
    </row>
    <row r="119" spans="1:6" s="60" customFormat="1" ht="11.25">
      <c r="A119" s="59" t="s">
        <v>58</v>
      </c>
      <c r="B119" s="82">
        <v>52.8</v>
      </c>
      <c r="C119" s="82">
        <v>12.3</v>
      </c>
      <c r="D119" s="82">
        <v>51.7</v>
      </c>
      <c r="E119" s="82">
        <v>53.8</v>
      </c>
      <c r="F119" s="59"/>
    </row>
    <row r="120" spans="1:6" s="60" customFormat="1" ht="11.25">
      <c r="A120" s="63" t="s">
        <v>64</v>
      </c>
      <c r="B120" s="82"/>
      <c r="C120" s="82"/>
      <c r="D120" s="82"/>
      <c r="E120" s="82"/>
      <c r="F120" s="59"/>
    </row>
    <row r="121" spans="1:6" s="60" customFormat="1" ht="11.25">
      <c r="A121" s="59" t="s">
        <v>65</v>
      </c>
      <c r="B121" s="82">
        <v>100</v>
      </c>
      <c r="C121" s="82"/>
      <c r="D121" s="82"/>
      <c r="E121" s="82"/>
      <c r="F121" s="59"/>
    </row>
    <row r="122" spans="1:6" s="60" customFormat="1" ht="11.25">
      <c r="A122" s="59" t="s">
        <v>66</v>
      </c>
      <c r="B122" s="82" t="s">
        <v>89</v>
      </c>
      <c r="C122" s="92" t="s">
        <v>89</v>
      </c>
      <c r="D122" s="92" t="s">
        <v>89</v>
      </c>
      <c r="E122" s="92" t="s">
        <v>89</v>
      </c>
      <c r="F122" s="59"/>
    </row>
    <row r="123" spans="1:6" s="60" customFormat="1" ht="11.25">
      <c r="A123" s="59" t="s">
        <v>67</v>
      </c>
      <c r="B123" s="82">
        <v>29.4</v>
      </c>
      <c r="C123" s="82">
        <v>0.3</v>
      </c>
      <c r="D123" s="55">
        <v>27.98842</v>
      </c>
      <c r="E123" s="55">
        <v>30.793691000000003</v>
      </c>
      <c r="F123" s="59"/>
    </row>
    <row r="124" spans="1:6" s="60" customFormat="1" ht="11.25">
      <c r="A124" s="59" t="s">
        <v>68</v>
      </c>
      <c r="B124" s="82">
        <v>68.9</v>
      </c>
      <c r="C124" s="82">
        <v>1.3</v>
      </c>
      <c r="D124" s="55">
        <v>67.41376799999999</v>
      </c>
      <c r="E124" s="55">
        <v>70.286488</v>
      </c>
      <c r="F124" s="59"/>
    </row>
    <row r="125" spans="1:6" s="60" customFormat="1" ht="11.25">
      <c r="A125" s="59" t="s">
        <v>69</v>
      </c>
      <c r="B125" s="82">
        <v>1.5</v>
      </c>
      <c r="C125" s="82">
        <v>18.7</v>
      </c>
      <c r="D125" s="55">
        <v>1.0656809999999999</v>
      </c>
      <c r="E125" s="55">
        <v>2.012839</v>
      </c>
      <c r="F125" s="59"/>
    </row>
    <row r="126" spans="1:6" s="60" customFormat="1" ht="11.25">
      <c r="A126" s="63" t="s">
        <v>70</v>
      </c>
      <c r="B126" s="82"/>
      <c r="C126" s="82"/>
      <c r="D126" s="82"/>
      <c r="E126" s="82"/>
      <c r="F126" s="59"/>
    </row>
    <row r="127" spans="1:6" s="60" customFormat="1" ht="11.25">
      <c r="A127" s="59" t="s">
        <v>71</v>
      </c>
      <c r="B127" s="82">
        <v>100</v>
      </c>
      <c r="C127" s="82"/>
      <c r="D127" s="82"/>
      <c r="E127" s="82"/>
      <c r="F127" s="59"/>
    </row>
    <row r="128" spans="1:6" s="60" customFormat="1" ht="11.25">
      <c r="A128" s="59" t="s">
        <v>72</v>
      </c>
      <c r="B128" s="82">
        <v>4.2</v>
      </c>
      <c r="C128" s="82">
        <v>8.1</v>
      </c>
      <c r="D128" s="55">
        <v>3.613126</v>
      </c>
      <c r="E128" s="55">
        <v>4.724114</v>
      </c>
      <c r="F128" s="59"/>
    </row>
    <row r="129" spans="1:6" s="60" customFormat="1" ht="11.25">
      <c r="A129" s="59" t="s">
        <v>73</v>
      </c>
      <c r="B129" s="82">
        <v>9.8</v>
      </c>
      <c r="C129" s="82">
        <v>5.7</v>
      </c>
      <c r="D129" s="55">
        <v>8.915091</v>
      </c>
      <c r="E129" s="55">
        <v>10.746028</v>
      </c>
      <c r="F129" s="59"/>
    </row>
    <row r="130" spans="1:6" s="60" customFormat="1" ht="11.25">
      <c r="A130" s="59" t="s">
        <v>74</v>
      </c>
      <c r="B130" s="82">
        <v>31.4</v>
      </c>
      <c r="C130" s="82">
        <v>2.7</v>
      </c>
      <c r="D130" s="55">
        <v>30.009715999999997</v>
      </c>
      <c r="E130" s="55">
        <v>32.812412</v>
      </c>
      <c r="F130" s="59"/>
    </row>
    <row r="131" spans="1:6" s="60" customFormat="1" ht="11.25">
      <c r="A131" s="59" t="s">
        <v>75</v>
      </c>
      <c r="B131" s="82">
        <v>45.4</v>
      </c>
      <c r="C131" s="82">
        <v>2</v>
      </c>
      <c r="D131" s="55">
        <v>43.93347</v>
      </c>
      <c r="E131" s="55">
        <v>46.945812</v>
      </c>
      <c r="F131" s="59"/>
    </row>
    <row r="132" spans="1:6" s="60" customFormat="1" ht="11.25">
      <c r="A132" s="59" t="s">
        <v>76</v>
      </c>
      <c r="B132" s="82">
        <v>4.6</v>
      </c>
      <c r="C132" s="82">
        <v>7.4</v>
      </c>
      <c r="D132" s="55">
        <v>4.021625</v>
      </c>
      <c r="E132" s="55">
        <v>5.147228999999999</v>
      </c>
      <c r="F132" s="59"/>
    </row>
    <row r="133" spans="1:6" s="60" customFormat="1" ht="11.25">
      <c r="A133" s="59" t="s">
        <v>77</v>
      </c>
      <c r="B133" s="82">
        <v>4.6</v>
      </c>
      <c r="C133" s="82">
        <v>7.8</v>
      </c>
      <c r="D133" s="55">
        <v>3.979923</v>
      </c>
      <c r="E133" s="55">
        <v>5.151453999999999</v>
      </c>
      <c r="F133" s="59"/>
    </row>
    <row r="134" spans="1:6" s="60" customFormat="1" ht="11.25">
      <c r="A134" s="63" t="s">
        <v>88</v>
      </c>
      <c r="B134" s="82"/>
      <c r="C134" s="82"/>
      <c r="D134" s="82"/>
      <c r="E134" s="82"/>
      <c r="F134" s="59"/>
    </row>
    <row r="135" spans="1:6" s="60" customFormat="1" ht="11.25">
      <c r="A135" s="63" t="s">
        <v>78</v>
      </c>
      <c r="B135" s="82"/>
      <c r="C135" s="82"/>
      <c r="D135" s="82"/>
      <c r="E135" s="82"/>
      <c r="F135" s="59"/>
    </row>
    <row r="136" spans="1:6" s="60" customFormat="1" ht="11.25">
      <c r="A136" s="59" t="s">
        <v>72</v>
      </c>
      <c r="B136" s="82">
        <v>3</v>
      </c>
      <c r="C136" s="55">
        <v>8.8239</v>
      </c>
      <c r="D136" s="55">
        <v>2.623168</v>
      </c>
      <c r="E136" s="55">
        <v>3.521618</v>
      </c>
      <c r="F136" s="59"/>
    </row>
    <row r="137" spans="1:6" s="60" customFormat="1" ht="11.25">
      <c r="A137" s="59" t="s">
        <v>73</v>
      </c>
      <c r="B137" s="82">
        <v>8.4</v>
      </c>
      <c r="C137" s="55">
        <v>5.591900000000001</v>
      </c>
      <c r="D137" s="55">
        <v>7.573442</v>
      </c>
      <c r="E137" s="55">
        <v>9.151521</v>
      </c>
      <c r="F137" s="59"/>
    </row>
    <row r="138" spans="1:6" s="60" customFormat="1" ht="11.25">
      <c r="A138" s="59" t="s">
        <v>74</v>
      </c>
      <c r="B138" s="82">
        <v>18.7</v>
      </c>
      <c r="C138" s="55">
        <v>3.1803</v>
      </c>
      <c r="D138" s="55">
        <v>17.617070000000002</v>
      </c>
      <c r="E138" s="55">
        <v>19.683742000000002</v>
      </c>
      <c r="F138" s="59"/>
    </row>
    <row r="139" spans="1:6" s="60" customFormat="1" ht="11.25">
      <c r="A139" s="59" t="s">
        <v>75</v>
      </c>
      <c r="B139" s="82">
        <v>31.1</v>
      </c>
      <c r="C139" s="55">
        <v>2.6734</v>
      </c>
      <c r="D139" s="55">
        <v>29.852973</v>
      </c>
      <c r="E139" s="55">
        <v>32.34204</v>
      </c>
      <c r="F139" s="59"/>
    </row>
    <row r="140" spans="1:6" s="60" customFormat="1" ht="11.25">
      <c r="A140" s="59" t="s">
        <v>76</v>
      </c>
      <c r="B140" s="82">
        <v>22.8</v>
      </c>
      <c r="C140" s="55">
        <v>3.5631999999999997</v>
      </c>
      <c r="D140" s="55">
        <v>21.716112000000003</v>
      </c>
      <c r="E140" s="55">
        <v>23.850511</v>
      </c>
      <c r="F140" s="59"/>
    </row>
    <row r="141" spans="1:6" s="60" customFormat="1" ht="11.25">
      <c r="A141" s="59" t="s">
        <v>77</v>
      </c>
      <c r="B141" s="82">
        <v>16</v>
      </c>
      <c r="C141" s="55">
        <v>0</v>
      </c>
      <c r="D141" s="55">
        <v>15.046662999999999</v>
      </c>
      <c r="E141" s="55">
        <v>17.021141</v>
      </c>
      <c r="F141" s="59"/>
    </row>
    <row r="142" spans="1:6" s="60" customFormat="1" ht="11.25">
      <c r="A142" s="63" t="s">
        <v>79</v>
      </c>
      <c r="B142" s="82"/>
      <c r="C142" s="82"/>
      <c r="D142" s="82"/>
      <c r="E142" s="82"/>
      <c r="F142" s="59"/>
    </row>
    <row r="143" spans="1:6" s="60" customFormat="1" ht="11.25">
      <c r="A143" s="59" t="s">
        <v>72</v>
      </c>
      <c r="B143" s="82">
        <v>5.4</v>
      </c>
      <c r="C143" s="55">
        <v>2.9539</v>
      </c>
      <c r="D143" s="55">
        <v>5.145544</v>
      </c>
      <c r="E143" s="55">
        <v>5.6711089999999995</v>
      </c>
      <c r="F143" s="59"/>
    </row>
    <row r="144" spans="1:6" s="60" customFormat="1" ht="11.25">
      <c r="A144" s="59" t="s">
        <v>73</v>
      </c>
      <c r="B144" s="82">
        <v>19.1</v>
      </c>
      <c r="C144" s="55">
        <v>1.4785</v>
      </c>
      <c r="D144" s="55">
        <v>18.66037</v>
      </c>
      <c r="E144" s="55">
        <v>19.590642</v>
      </c>
      <c r="F144" s="59"/>
    </row>
    <row r="145" spans="1:6" s="60" customFormat="1" ht="11.25">
      <c r="A145" s="59" t="s">
        <v>74</v>
      </c>
      <c r="B145" s="82">
        <v>15.1</v>
      </c>
      <c r="C145" s="55">
        <v>1.6487999999999998</v>
      </c>
      <c r="D145" s="55">
        <v>14.729107999999998</v>
      </c>
      <c r="E145" s="55">
        <v>15.550291999999999</v>
      </c>
      <c r="F145" s="59"/>
    </row>
    <row r="146" spans="1:6" s="60" customFormat="1" ht="11.25">
      <c r="A146" s="59" t="s">
        <v>75</v>
      </c>
      <c r="B146" s="82">
        <v>26.3</v>
      </c>
      <c r="C146" s="55">
        <v>1.1386</v>
      </c>
      <c r="D146" s="55">
        <v>25.751269</v>
      </c>
      <c r="E146" s="55">
        <v>26.734223</v>
      </c>
      <c r="F146" s="59"/>
    </row>
    <row r="147" spans="1:6" s="60" customFormat="1" ht="11.25">
      <c r="A147" s="59" t="s">
        <v>76</v>
      </c>
      <c r="B147" s="82">
        <v>11.3</v>
      </c>
      <c r="C147" s="55">
        <v>1.8756</v>
      </c>
      <c r="D147" s="55">
        <v>10.937812</v>
      </c>
      <c r="E147" s="55">
        <v>11.634173</v>
      </c>
      <c r="F147" s="59"/>
    </row>
    <row r="148" spans="1:6" s="60" customFormat="1" ht="11.25">
      <c r="A148" s="59" t="s">
        <v>77</v>
      </c>
      <c r="B148" s="82">
        <v>22.8</v>
      </c>
      <c r="C148" s="55">
        <v>1.2761</v>
      </c>
      <c r="D148" s="55">
        <v>22.319191</v>
      </c>
      <c r="E148" s="55">
        <v>23.276265</v>
      </c>
      <c r="F148" s="59"/>
    </row>
    <row r="149" spans="1:6" s="60" customFormat="1" ht="11.25">
      <c r="A149" s="63" t="s">
        <v>55</v>
      </c>
      <c r="B149" s="82"/>
      <c r="C149" s="82"/>
      <c r="D149" s="82"/>
      <c r="E149" s="82"/>
      <c r="F149" s="59"/>
    </row>
    <row r="150" spans="1:6" s="60" customFormat="1" ht="11.25">
      <c r="A150" s="59" t="s">
        <v>72</v>
      </c>
      <c r="B150" s="82">
        <v>15.9</v>
      </c>
      <c r="C150" s="55">
        <v>2.8706</v>
      </c>
      <c r="D150" s="55">
        <v>15.164205</v>
      </c>
      <c r="E150" s="55">
        <v>16.667276</v>
      </c>
      <c r="F150" s="59"/>
    </row>
    <row r="151" spans="1:6" s="60" customFormat="1" ht="11.25">
      <c r="A151" s="59" t="s">
        <v>73</v>
      </c>
      <c r="B151" s="82">
        <v>36.5</v>
      </c>
      <c r="C151" s="55">
        <v>1.6487999999999998</v>
      </c>
      <c r="D151" s="55">
        <v>35.500537</v>
      </c>
      <c r="E151" s="55">
        <v>37.479862000000004</v>
      </c>
      <c r="F151" s="59"/>
    </row>
    <row r="152" spans="1:6" s="60" customFormat="1" ht="11.25">
      <c r="A152" s="59" t="s">
        <v>74</v>
      </c>
      <c r="B152" s="82">
        <v>9.2</v>
      </c>
      <c r="C152" s="55">
        <v>3.7756</v>
      </c>
      <c r="D152" s="55">
        <v>8.639441</v>
      </c>
      <c r="E152" s="55">
        <v>9.783659</v>
      </c>
      <c r="F152" s="59"/>
    </row>
    <row r="153" spans="1:6" s="60" customFormat="1" ht="11.25">
      <c r="A153" s="59" t="s">
        <v>75</v>
      </c>
      <c r="B153" s="82">
        <v>19</v>
      </c>
      <c r="C153" s="55">
        <v>2.5598</v>
      </c>
      <c r="D153" s="55">
        <v>18.166548</v>
      </c>
      <c r="E153" s="55">
        <v>19.763720000000003</v>
      </c>
      <c r="F153" s="59"/>
    </row>
    <row r="154" spans="1:6" s="60" customFormat="1" ht="11.25">
      <c r="A154" s="59" t="s">
        <v>76</v>
      </c>
      <c r="B154" s="82">
        <v>4.5</v>
      </c>
      <c r="C154" s="55">
        <v>5.7999</v>
      </c>
      <c r="D154" s="55">
        <v>4.101999</v>
      </c>
      <c r="E154" s="55">
        <v>4.967266</v>
      </c>
      <c r="F154" s="59"/>
    </row>
    <row r="155" spans="1:6" s="60" customFormat="1" ht="11.25">
      <c r="A155" s="68" t="s">
        <v>77</v>
      </c>
      <c r="B155" s="93">
        <v>14.9</v>
      </c>
      <c r="C155" s="88">
        <v>3.0091</v>
      </c>
      <c r="D155" s="88">
        <v>14.146063</v>
      </c>
      <c r="E155" s="88">
        <v>15.619424</v>
      </c>
      <c r="F155" s="59"/>
    </row>
    <row r="156" spans="1:6" s="60" customFormat="1" ht="11.25">
      <c r="A156" s="59"/>
      <c r="B156" s="62"/>
      <c r="C156" s="62"/>
      <c r="D156" s="62"/>
      <c r="E156" s="62"/>
      <c r="F156" s="59"/>
    </row>
    <row r="157" spans="1:6" s="60" customFormat="1" ht="11.25">
      <c r="A157" s="59" t="s">
        <v>114</v>
      </c>
      <c r="B157" s="62"/>
      <c r="C157" s="62"/>
      <c r="D157" s="62"/>
      <c r="E157" s="62"/>
      <c r="F157" s="59"/>
    </row>
    <row r="158" spans="1:6" s="60" customFormat="1" ht="11.25">
      <c r="A158" s="59" t="s">
        <v>115</v>
      </c>
      <c r="B158" s="62"/>
      <c r="C158" s="62"/>
      <c r="D158" s="62"/>
      <c r="E158" s="62"/>
      <c r="F158" s="59"/>
    </row>
    <row r="159" spans="1:6" s="60" customFormat="1" ht="11.25">
      <c r="A159" s="59" t="s">
        <v>116</v>
      </c>
      <c r="B159" s="62"/>
      <c r="C159" s="62"/>
      <c r="D159" s="62"/>
      <c r="E159" s="62"/>
      <c r="F159" s="59"/>
    </row>
    <row r="160" spans="1:6" s="60" customFormat="1" ht="11.25">
      <c r="A160" s="36" t="s">
        <v>91</v>
      </c>
      <c r="B160" s="62"/>
      <c r="C160" s="62"/>
      <c r="D160" s="62"/>
      <c r="E160" s="62"/>
      <c r="F160" s="59"/>
    </row>
    <row r="161" spans="1:6" s="60" customFormat="1" ht="11.25">
      <c r="A161" s="59"/>
      <c r="B161" s="62"/>
      <c r="C161" s="62"/>
      <c r="D161" s="62"/>
      <c r="E161" s="62"/>
      <c r="F161" s="59"/>
    </row>
    <row r="162" s="60" customFormat="1" ht="11.25">
      <c r="A162" s="59" t="s">
        <v>119</v>
      </c>
    </row>
    <row r="163" s="60" customFormat="1" ht="11.25"/>
    <row r="164" s="60" customFormat="1" ht="11.25"/>
    <row r="165" spans="1:6" s="60" customFormat="1" ht="12">
      <c r="A165" s="157" t="s">
        <v>120</v>
      </c>
      <c r="B165" s="158"/>
      <c r="C165" s="158"/>
      <c r="D165" s="158"/>
      <c r="E165" s="158"/>
      <c r="F165" s="66"/>
    </row>
    <row r="166" spans="1:6" s="60" customFormat="1" ht="11.25">
      <c r="A166" s="59"/>
      <c r="B166" s="62"/>
      <c r="C166" s="62"/>
      <c r="D166" s="62"/>
      <c r="E166" s="62"/>
      <c r="F166" s="66"/>
    </row>
    <row r="167" spans="1:6" s="60" customFormat="1" ht="11.25">
      <c r="A167" s="151" t="s">
        <v>90</v>
      </c>
      <c r="B167" s="151" t="s">
        <v>80</v>
      </c>
      <c r="C167" s="151" t="s">
        <v>81</v>
      </c>
      <c r="D167" s="156" t="s">
        <v>84</v>
      </c>
      <c r="E167" s="156"/>
      <c r="F167" s="66"/>
    </row>
    <row r="168" spans="1:6" s="60" customFormat="1" ht="11.25">
      <c r="A168" s="149"/>
      <c r="B168" s="149"/>
      <c r="C168" s="149"/>
      <c r="D168" s="69" t="s">
        <v>82</v>
      </c>
      <c r="E168" s="69" t="s">
        <v>83</v>
      </c>
      <c r="F168" s="66"/>
    </row>
    <row r="169" spans="1:6" s="60" customFormat="1" ht="11.25">
      <c r="A169" s="61"/>
      <c r="B169" s="58"/>
      <c r="C169" s="58"/>
      <c r="D169" s="58"/>
      <c r="E169" s="58"/>
      <c r="F169" s="66"/>
    </row>
    <row r="170" spans="1:6" s="60" customFormat="1" ht="11.25">
      <c r="A170" s="61" t="s">
        <v>0</v>
      </c>
      <c r="B170" s="89">
        <v>9015328</v>
      </c>
      <c r="C170" s="71"/>
      <c r="D170" s="71"/>
      <c r="E170" s="71"/>
      <c r="F170" s="66"/>
    </row>
    <row r="171" spans="1:6" s="60" customFormat="1" ht="11.25">
      <c r="A171" s="63" t="s">
        <v>1</v>
      </c>
      <c r="B171" s="82"/>
      <c r="C171" s="82"/>
      <c r="D171" s="82"/>
      <c r="E171" s="82"/>
      <c r="F171" s="66"/>
    </row>
    <row r="172" spans="1:6" s="60" customFormat="1" ht="11.25">
      <c r="A172" s="63" t="s">
        <v>2</v>
      </c>
      <c r="B172" s="82"/>
      <c r="C172" s="82"/>
      <c r="D172" s="82"/>
      <c r="E172" s="82"/>
      <c r="F172" s="66"/>
    </row>
    <row r="173" spans="1:6" s="60" customFormat="1" ht="11.25">
      <c r="A173" s="59" t="s">
        <v>3</v>
      </c>
      <c r="B173" s="55">
        <v>7.09</v>
      </c>
      <c r="C173" s="55">
        <f>0.03*100</f>
        <v>3</v>
      </c>
      <c r="D173" s="55">
        <f>0.0672*100</f>
        <v>6.72</v>
      </c>
      <c r="E173" s="55">
        <f>0.074*100</f>
        <v>7.3999999999999995</v>
      </c>
      <c r="F173" s="66"/>
    </row>
    <row r="174" spans="1:6" s="60" customFormat="1" ht="11.25">
      <c r="A174" s="59" t="s">
        <v>4</v>
      </c>
      <c r="B174" s="55">
        <v>12.94</v>
      </c>
      <c r="C174" s="55">
        <f>0.021*100</f>
        <v>2.1</v>
      </c>
      <c r="D174" s="55">
        <f>0.124*100</f>
        <v>12.4</v>
      </c>
      <c r="E174" s="55">
        <f>0.133*100</f>
        <v>13.3</v>
      </c>
      <c r="F174" s="66"/>
    </row>
    <row r="175" spans="1:6" s="60" customFormat="1" ht="11.25">
      <c r="A175" s="59" t="s">
        <v>5</v>
      </c>
      <c r="B175" s="55">
        <v>79.97</v>
      </c>
      <c r="C175" s="55">
        <f>0.004*100</f>
        <v>0.4</v>
      </c>
      <c r="D175" s="55">
        <f>0.7951*100</f>
        <v>79.51</v>
      </c>
      <c r="E175" s="55">
        <f>0.805*100</f>
        <v>80.5</v>
      </c>
      <c r="F175" s="66"/>
    </row>
    <row r="176" spans="1:6" s="60" customFormat="1" ht="11.25">
      <c r="A176" s="63" t="s">
        <v>126</v>
      </c>
      <c r="B176" s="55"/>
      <c r="C176" s="55"/>
      <c r="D176" s="55"/>
      <c r="E176" s="55"/>
      <c r="F176" s="66"/>
    </row>
    <row r="177" spans="1:6" s="60" customFormat="1" ht="11.25">
      <c r="A177" s="59" t="s">
        <v>6</v>
      </c>
      <c r="B177" s="55">
        <f>B178+B179</f>
        <v>97.42</v>
      </c>
      <c r="C177" s="55">
        <v>0.3</v>
      </c>
      <c r="D177" s="55">
        <v>96.62</v>
      </c>
      <c r="E177" s="55">
        <v>98.22</v>
      </c>
      <c r="F177" s="66"/>
    </row>
    <row r="178" spans="1:6" s="60" customFormat="1" ht="11.25">
      <c r="A178" s="59" t="s">
        <v>7</v>
      </c>
      <c r="B178" s="55">
        <v>83.37</v>
      </c>
      <c r="C178" s="55">
        <f>0.003*100</f>
        <v>0.3</v>
      </c>
      <c r="D178" s="55">
        <f>0.8265*100</f>
        <v>82.65</v>
      </c>
      <c r="E178" s="55">
        <f>0.836*100</f>
        <v>83.6</v>
      </c>
      <c r="F178" s="66"/>
    </row>
    <row r="179" spans="1:6" s="60" customFormat="1" ht="11.25">
      <c r="A179" s="59" t="s">
        <v>8</v>
      </c>
      <c r="B179" s="55">
        <v>14.05</v>
      </c>
      <c r="C179" s="55">
        <f>0.019*100</f>
        <v>1.9</v>
      </c>
      <c r="D179" s="55">
        <f>0.136*100</f>
        <v>13.600000000000001</v>
      </c>
      <c r="E179" s="55">
        <f>0.145*100</f>
        <v>14.499999999999998</v>
      </c>
      <c r="F179" s="66"/>
    </row>
    <row r="180" spans="1:6" s="60" customFormat="1" ht="11.25">
      <c r="A180" s="59" t="s">
        <v>9</v>
      </c>
      <c r="B180" s="55">
        <v>2.58</v>
      </c>
      <c r="C180" s="55">
        <f>0.049*100</f>
        <v>4.9</v>
      </c>
      <c r="D180" s="55">
        <f>0.0236*100</f>
        <v>2.36</v>
      </c>
      <c r="E180" s="55">
        <f>0.027*100</f>
        <v>2.7</v>
      </c>
      <c r="F180" s="66"/>
    </row>
    <row r="181" spans="1:6" s="60" customFormat="1" ht="11.25">
      <c r="A181" s="63" t="s">
        <v>127</v>
      </c>
      <c r="B181" s="55"/>
      <c r="C181" s="55"/>
      <c r="D181" s="55"/>
      <c r="E181" s="55"/>
      <c r="F181" s="66"/>
    </row>
    <row r="182" spans="1:6" s="60" customFormat="1" ht="11.25">
      <c r="A182" s="59" t="s">
        <v>10</v>
      </c>
      <c r="B182" s="55">
        <v>85.88</v>
      </c>
      <c r="C182" s="55">
        <f>0.003*100</f>
        <v>0.3</v>
      </c>
      <c r="D182" s="55">
        <f>0.8518*100</f>
        <v>85.18</v>
      </c>
      <c r="E182" s="55">
        <f>0.862*100</f>
        <v>86.2</v>
      </c>
      <c r="F182" s="66"/>
    </row>
    <row r="183" spans="1:6" s="60" customFormat="1" ht="11.25">
      <c r="A183" s="59" t="s">
        <v>11</v>
      </c>
      <c r="B183" s="55">
        <v>14.12</v>
      </c>
      <c r="C183" s="55">
        <f>0.021*100</f>
        <v>2.1</v>
      </c>
      <c r="D183" s="55">
        <f>0.1359*100</f>
        <v>13.59</v>
      </c>
      <c r="E183" s="55">
        <f>0.146*100</f>
        <v>14.6</v>
      </c>
      <c r="F183" s="66"/>
    </row>
    <row r="184" spans="1:6" s="60" customFormat="1" ht="11.25">
      <c r="A184" s="63" t="s">
        <v>128</v>
      </c>
      <c r="B184" s="55"/>
      <c r="C184" s="55"/>
      <c r="D184" s="55"/>
      <c r="E184" s="55"/>
      <c r="F184" s="66"/>
    </row>
    <row r="185" spans="1:6" s="60" customFormat="1" ht="11.25">
      <c r="A185" s="59" t="s">
        <v>12</v>
      </c>
      <c r="B185" s="55">
        <v>93.71</v>
      </c>
      <c r="C185" s="55">
        <f>0.002*100</f>
        <v>0.2</v>
      </c>
      <c r="D185" s="55">
        <f>0.9338*100</f>
        <v>93.38</v>
      </c>
      <c r="E185" s="55">
        <f>0.941*100</f>
        <v>94.1</v>
      </c>
      <c r="F185" s="66"/>
    </row>
    <row r="186" spans="1:6" s="60" customFormat="1" ht="11.25">
      <c r="A186" s="59" t="s">
        <v>13</v>
      </c>
      <c r="B186" s="55">
        <v>6.29</v>
      </c>
      <c r="C186" s="55">
        <f>0.035*100</f>
        <v>3.5000000000000004</v>
      </c>
      <c r="D186" s="55">
        <f>0.0587*100</f>
        <v>5.87</v>
      </c>
      <c r="E186" s="55">
        <f>0.066*100</f>
        <v>6.6000000000000005</v>
      </c>
      <c r="F186" s="66"/>
    </row>
    <row r="187" spans="1:6" s="60" customFormat="1" ht="11.25">
      <c r="A187" s="63" t="s">
        <v>14</v>
      </c>
      <c r="B187" s="55"/>
      <c r="C187" s="55"/>
      <c r="D187" s="55"/>
      <c r="E187" s="55"/>
      <c r="F187" s="66"/>
    </row>
    <row r="188" spans="1:6" s="60" customFormat="1" ht="11.25">
      <c r="A188" s="59" t="s">
        <v>15</v>
      </c>
      <c r="B188" s="55">
        <v>97</v>
      </c>
      <c r="C188" s="55">
        <f>0.001*100</f>
        <v>0.1</v>
      </c>
      <c r="D188" s="55">
        <f>0.9674*100</f>
        <v>96.74000000000001</v>
      </c>
      <c r="E188" s="55">
        <f>0.972*100</f>
        <v>97.2</v>
      </c>
      <c r="F188" s="67"/>
    </row>
    <row r="189" spans="1:6" s="60" customFormat="1" ht="11.25">
      <c r="A189" s="59" t="s">
        <v>16</v>
      </c>
      <c r="B189" s="55">
        <v>87.7</v>
      </c>
      <c r="C189" s="55">
        <f>0.003519*100</f>
        <v>0.3519</v>
      </c>
      <c r="D189" s="55">
        <f>0.87223825*100</f>
        <v>87.223825</v>
      </c>
      <c r="E189" s="55">
        <f>0.88239459*100</f>
        <v>88.239459</v>
      </c>
      <c r="F189" s="66"/>
    </row>
    <row r="190" spans="1:6" s="60" customFormat="1" ht="11.25">
      <c r="A190" s="59" t="s">
        <v>17</v>
      </c>
      <c r="B190" s="55">
        <v>9.1</v>
      </c>
      <c r="C190" s="55">
        <f>0.030393*100</f>
        <v>3.0393</v>
      </c>
      <c r="D190" s="55">
        <f>0.08635516*100</f>
        <v>8.635516</v>
      </c>
      <c r="E190" s="55">
        <f>0.09544392*100</f>
        <v>9.544392</v>
      </c>
      <c r="F190" s="66"/>
    </row>
    <row r="191" spans="1:6" s="60" customFormat="1" ht="11.25">
      <c r="A191" s="59" t="s">
        <v>18</v>
      </c>
      <c r="B191" s="86" t="s">
        <v>89</v>
      </c>
      <c r="C191" s="55"/>
      <c r="D191" s="55"/>
      <c r="E191" s="55"/>
      <c r="F191" s="66"/>
    </row>
    <row r="192" spans="1:6" s="60" customFormat="1" ht="11.25">
      <c r="A192" s="59" t="s">
        <v>19</v>
      </c>
      <c r="B192" s="55">
        <v>3</v>
      </c>
      <c r="C192" s="55">
        <f>0.051653*100</f>
        <v>5.165299999999999</v>
      </c>
      <c r="D192" s="55">
        <f>0.0273*100</f>
        <v>2.73</v>
      </c>
      <c r="E192" s="55">
        <f>0.032*100</f>
        <v>3.2</v>
      </c>
      <c r="F192" s="66"/>
    </row>
    <row r="193" spans="1:6" s="60" customFormat="1" ht="11.25">
      <c r="A193" s="59"/>
      <c r="B193" s="55"/>
      <c r="C193" s="55"/>
      <c r="D193" s="55"/>
      <c r="E193" s="55"/>
      <c r="F193" s="66"/>
    </row>
    <row r="194" spans="1:6" s="60" customFormat="1" ht="11.25">
      <c r="A194" s="63" t="s">
        <v>129</v>
      </c>
      <c r="B194" s="55"/>
      <c r="C194" s="55"/>
      <c r="D194" s="55"/>
      <c r="E194" s="55"/>
      <c r="F194" s="66"/>
    </row>
    <row r="195" spans="1:6" s="60" customFormat="1" ht="11.25">
      <c r="A195" s="63" t="s">
        <v>21</v>
      </c>
      <c r="B195" s="55"/>
      <c r="C195" s="55"/>
      <c r="D195" s="55"/>
      <c r="E195" s="55"/>
      <c r="F195" s="66"/>
    </row>
    <row r="196" spans="1:6" s="60" customFormat="1" ht="11.25">
      <c r="A196" s="59" t="s">
        <v>22</v>
      </c>
      <c r="B196" s="55">
        <v>89.62</v>
      </c>
      <c r="C196" s="55">
        <f>0.003*100</f>
        <v>0.3</v>
      </c>
      <c r="D196" s="55">
        <f>0.8915*100</f>
        <v>89.14999999999999</v>
      </c>
      <c r="E196" s="55">
        <f>0.901*100</f>
        <v>90.10000000000001</v>
      </c>
      <c r="F196" s="66"/>
    </row>
    <row r="197" spans="1:6" s="60" customFormat="1" ht="11.25">
      <c r="A197" s="59" t="s">
        <v>23</v>
      </c>
      <c r="B197" s="55">
        <v>10.38</v>
      </c>
      <c r="C197" s="55">
        <f>0.028*100</f>
        <v>2.8000000000000003</v>
      </c>
      <c r="D197" s="55">
        <f>0.0896*100</f>
        <v>8.959999999999999</v>
      </c>
      <c r="E197" s="55">
        <f>0.108*100</f>
        <v>10.8</v>
      </c>
      <c r="F197" s="66"/>
    </row>
    <row r="198" spans="1:6" s="60" customFormat="1" ht="11.25">
      <c r="A198" s="63" t="s">
        <v>24</v>
      </c>
      <c r="B198" s="55"/>
      <c r="C198" s="55"/>
      <c r="D198" s="55"/>
      <c r="E198" s="55"/>
      <c r="F198" s="66"/>
    </row>
    <row r="199" spans="1:6" s="60" customFormat="1" ht="11.25">
      <c r="A199" s="59" t="s">
        <v>22</v>
      </c>
      <c r="B199" s="55">
        <v>70.0177</v>
      </c>
      <c r="C199" s="55">
        <v>0.5346</v>
      </c>
      <c r="D199" s="55">
        <v>69.401979</v>
      </c>
      <c r="E199" s="55">
        <v>70.633373</v>
      </c>
      <c r="F199" s="66"/>
    </row>
    <row r="200" spans="1:6" s="60" customFormat="1" ht="11.25">
      <c r="A200" s="59" t="s">
        <v>23</v>
      </c>
      <c r="B200" s="55">
        <v>29.982300000000002</v>
      </c>
      <c r="C200" s="55">
        <v>1.2484</v>
      </c>
      <c r="D200" s="55">
        <v>29.366627</v>
      </c>
      <c r="E200" s="55">
        <v>30.598020999999996</v>
      </c>
      <c r="F200" s="66"/>
    </row>
    <row r="201" spans="1:6" s="60" customFormat="1" ht="11.25">
      <c r="A201" s="63" t="s">
        <v>25</v>
      </c>
      <c r="B201" s="55"/>
      <c r="C201" s="55"/>
      <c r="D201" s="55"/>
      <c r="E201" s="55"/>
      <c r="F201" s="66"/>
    </row>
    <row r="202" spans="1:6" s="60" customFormat="1" ht="11.25">
      <c r="A202" s="59" t="s">
        <v>22</v>
      </c>
      <c r="B202" s="55">
        <v>71.23</v>
      </c>
      <c r="C202" s="55">
        <f>0.004*100</f>
        <v>0.4</v>
      </c>
      <c r="D202" s="55">
        <f>0.707*100</f>
        <v>70.7</v>
      </c>
      <c r="E202" s="55">
        <f>0.718*100</f>
        <v>71.8</v>
      </c>
      <c r="F202" s="66"/>
    </row>
    <row r="203" spans="1:6" s="60" customFormat="1" ht="11.25">
      <c r="A203" s="59" t="s">
        <v>23</v>
      </c>
      <c r="B203" s="55">
        <v>28.77</v>
      </c>
      <c r="C203" s="55">
        <f>0.011*100</f>
        <v>1.0999999999999999</v>
      </c>
      <c r="D203" s="55">
        <f>0.2817*100</f>
        <v>28.17</v>
      </c>
      <c r="E203" s="55">
        <f>0.292*100</f>
        <v>29.2</v>
      </c>
      <c r="F203" s="66"/>
    </row>
    <row r="204" spans="1:6" s="60" customFormat="1" ht="11.25">
      <c r="A204" s="59"/>
      <c r="B204" s="55"/>
      <c r="C204" s="55"/>
      <c r="D204" s="55"/>
      <c r="E204" s="55"/>
      <c r="F204" s="66"/>
    </row>
    <row r="205" spans="1:6" s="60" customFormat="1" ht="11.25">
      <c r="A205" s="59" t="s">
        <v>26</v>
      </c>
      <c r="B205" s="55">
        <v>44.08</v>
      </c>
      <c r="C205" s="55">
        <f>0.008*100</f>
        <v>0.8</v>
      </c>
      <c r="D205" s="55">
        <f>0.4337*100</f>
        <v>43.37</v>
      </c>
      <c r="E205" s="55">
        <f>0.446*100</f>
        <v>44.6</v>
      </c>
      <c r="F205" s="66"/>
    </row>
    <row r="206" spans="1:6" s="60" customFormat="1" ht="11.25">
      <c r="A206" s="59"/>
      <c r="B206" s="55"/>
      <c r="C206" s="55"/>
      <c r="D206" s="55"/>
      <c r="E206" s="55"/>
      <c r="F206" s="66"/>
    </row>
    <row r="207" spans="1:6" s="60" customFormat="1" ht="11.25">
      <c r="A207" s="63" t="s">
        <v>27</v>
      </c>
      <c r="B207" s="55"/>
      <c r="C207" s="55"/>
      <c r="D207" s="55"/>
      <c r="E207" s="55"/>
      <c r="F207" s="66"/>
    </row>
    <row r="208" spans="1:6" s="60" customFormat="1" ht="11.25">
      <c r="A208" s="59" t="s">
        <v>86</v>
      </c>
      <c r="B208" s="55">
        <v>6.3</v>
      </c>
      <c r="C208" s="55">
        <f>0.031*100</f>
        <v>3.1</v>
      </c>
      <c r="D208" s="55">
        <f>0.059*100</f>
        <v>5.8999999999999995</v>
      </c>
      <c r="E208" s="55">
        <f>0.065*100</f>
        <v>6.5</v>
      </c>
      <c r="F208" s="66"/>
    </row>
    <row r="209" spans="1:6" s="60" customFormat="1" ht="11.25">
      <c r="A209" s="59" t="s">
        <v>87</v>
      </c>
      <c r="B209" s="55">
        <v>10.98</v>
      </c>
      <c r="C209" s="55">
        <f>0.026*100</f>
        <v>2.6</v>
      </c>
      <c r="D209" s="55">
        <f>0.1051*100</f>
        <v>10.51</v>
      </c>
      <c r="E209" s="55">
        <f>0.114*100</f>
        <v>11.4</v>
      </c>
      <c r="F209" s="66"/>
    </row>
    <row r="210" spans="1:6" s="60" customFormat="1" ht="11.25">
      <c r="A210" s="59"/>
      <c r="B210" s="55"/>
      <c r="C210" s="55"/>
      <c r="D210" s="55"/>
      <c r="E210" s="55"/>
      <c r="F210" s="66"/>
    </row>
    <row r="211" spans="1:6" s="60" customFormat="1" ht="11.25">
      <c r="A211" s="63" t="s">
        <v>130</v>
      </c>
      <c r="B211" s="55"/>
      <c r="C211" s="55"/>
      <c r="D211" s="55"/>
      <c r="E211" s="55"/>
      <c r="F211" s="66"/>
    </row>
    <row r="212" spans="1:6" s="60" customFormat="1" ht="11.25">
      <c r="A212" s="59" t="s">
        <v>28</v>
      </c>
      <c r="B212" s="55">
        <v>65.16</v>
      </c>
      <c r="C212" s="55">
        <f>0.005*100</f>
        <v>0.5</v>
      </c>
      <c r="D212" s="55">
        <f>0.643*100</f>
        <v>64.3</v>
      </c>
      <c r="E212" s="55">
        <f>0.655*100</f>
        <v>65.5</v>
      </c>
      <c r="F212" s="66"/>
    </row>
    <row r="213" spans="1:6" s="60" customFormat="1" ht="11.25">
      <c r="A213" s="59" t="s">
        <v>29</v>
      </c>
      <c r="B213" s="55">
        <v>4.93</v>
      </c>
      <c r="C213" s="55">
        <f>0.036*100</f>
        <v>3.5999999999999996</v>
      </c>
      <c r="D213" s="55">
        <f>0.0461*100</f>
        <v>4.61</v>
      </c>
      <c r="E213" s="55">
        <f>0.052*100</f>
        <v>5.2</v>
      </c>
      <c r="F213" s="66"/>
    </row>
    <row r="214" spans="1:6" s="60" customFormat="1" ht="11.25">
      <c r="A214" s="59" t="s">
        <v>30</v>
      </c>
      <c r="B214" s="55">
        <v>18.89</v>
      </c>
      <c r="C214" s="55">
        <f>0.015*100</f>
        <v>1.5</v>
      </c>
      <c r="D214" s="55">
        <f>0.1841*100</f>
        <v>18.41</v>
      </c>
      <c r="E214" s="55">
        <f>0.194*100</f>
        <v>19.400000000000002</v>
      </c>
      <c r="F214" s="66"/>
    </row>
    <row r="215" spans="1:6" s="60" customFormat="1" ht="11.25">
      <c r="A215" s="59" t="s">
        <v>31</v>
      </c>
      <c r="B215" s="55">
        <v>9.16</v>
      </c>
      <c r="C215" s="55">
        <f>0.024*100</f>
        <v>2.4</v>
      </c>
      <c r="D215" s="55">
        <f>0.0882*100</f>
        <v>8.82</v>
      </c>
      <c r="E215" s="55">
        <f>0.095*100</f>
        <v>9.5</v>
      </c>
      <c r="F215" s="66"/>
    </row>
    <row r="216" spans="1:6" s="60" customFormat="1" ht="11.25">
      <c r="A216" s="59" t="s">
        <v>32</v>
      </c>
      <c r="B216" s="55">
        <v>1.86</v>
      </c>
      <c r="C216" s="55">
        <f>0.054*100</f>
        <v>5.4</v>
      </c>
      <c r="D216" s="55">
        <f>0.0168*100</f>
        <v>1.68</v>
      </c>
      <c r="E216" s="55">
        <f>0.02*100</f>
        <v>2</v>
      </c>
      <c r="F216" s="66"/>
    </row>
    <row r="217" spans="1:6" s="60" customFormat="1" ht="11.25">
      <c r="A217" s="59"/>
      <c r="B217" s="55"/>
      <c r="C217" s="55"/>
      <c r="D217" s="55"/>
      <c r="E217" s="55"/>
      <c r="F217" s="66"/>
    </row>
    <row r="218" spans="1:6" s="60" customFormat="1" ht="11.25">
      <c r="A218" s="63" t="s">
        <v>132</v>
      </c>
      <c r="B218" s="55"/>
      <c r="C218" s="55"/>
      <c r="D218" s="55"/>
      <c r="E218" s="55"/>
      <c r="F218" s="66"/>
    </row>
    <row r="219" spans="1:6" s="60" customFormat="1" ht="11.25">
      <c r="A219" s="59" t="s">
        <v>44</v>
      </c>
      <c r="B219" s="55">
        <v>13.698495500865517</v>
      </c>
      <c r="C219" s="55">
        <v>2.8</v>
      </c>
      <c r="D219" s="55">
        <v>13.5</v>
      </c>
      <c r="E219" s="55">
        <v>13.9</v>
      </c>
      <c r="F219" s="66"/>
    </row>
    <row r="220" spans="1:6" s="60" customFormat="1" ht="11.25">
      <c r="A220" s="59" t="s">
        <v>85</v>
      </c>
      <c r="B220" s="55">
        <v>33.4</v>
      </c>
      <c r="C220" s="55">
        <v>1.3</v>
      </c>
      <c r="D220" s="55">
        <f>+B220-0.7</f>
        <v>32.699999999999996</v>
      </c>
      <c r="E220" s="55">
        <f>+B220+0.7</f>
        <v>34.1</v>
      </c>
      <c r="F220" s="66"/>
    </row>
    <row r="221" spans="1:6" s="60" customFormat="1" ht="11.25">
      <c r="A221" s="59"/>
      <c r="B221" s="55"/>
      <c r="C221" s="55"/>
      <c r="D221" s="55"/>
      <c r="E221" s="55"/>
      <c r="F221" s="66"/>
    </row>
    <row r="222" spans="1:6" s="60" customFormat="1" ht="11.25">
      <c r="A222" s="63" t="s">
        <v>33</v>
      </c>
      <c r="B222" s="55"/>
      <c r="C222" s="55"/>
      <c r="D222" s="55"/>
      <c r="E222" s="55"/>
      <c r="F222" s="66"/>
    </row>
    <row r="223" spans="1:6" s="60" customFormat="1" ht="11.25">
      <c r="A223" s="59" t="s">
        <v>34</v>
      </c>
      <c r="B223" s="55"/>
      <c r="C223" s="55"/>
      <c r="D223" s="55"/>
      <c r="E223" s="55"/>
      <c r="F223" s="66"/>
    </row>
    <row r="224" spans="1:6" s="60" customFormat="1" ht="11.25">
      <c r="A224" s="59" t="s">
        <v>35</v>
      </c>
      <c r="B224" s="55">
        <v>6.8</v>
      </c>
      <c r="C224" s="55">
        <v>2.9193000000000002</v>
      </c>
      <c r="D224" s="55">
        <v>6.462682</v>
      </c>
      <c r="E224" s="55">
        <v>7.114654</v>
      </c>
      <c r="F224" s="66"/>
    </row>
    <row r="225" spans="1:6" s="60" customFormat="1" ht="11.25">
      <c r="A225" s="59" t="s">
        <v>36</v>
      </c>
      <c r="B225" s="55">
        <v>36.3</v>
      </c>
      <c r="C225" s="55">
        <v>1.0456999999999999</v>
      </c>
      <c r="D225" s="55">
        <v>35.694818</v>
      </c>
      <c r="E225" s="55">
        <v>36.944262</v>
      </c>
      <c r="F225" s="66"/>
    </row>
    <row r="226" spans="1:6" s="60" customFormat="1" ht="11.25">
      <c r="A226" s="59" t="s">
        <v>37</v>
      </c>
      <c r="B226" s="55">
        <v>32</v>
      </c>
      <c r="C226" s="55">
        <v>1.1202999999999999</v>
      </c>
      <c r="D226" s="55">
        <v>31.425818</v>
      </c>
      <c r="E226" s="55">
        <v>32.605745000000006</v>
      </c>
      <c r="F226" s="66"/>
    </row>
    <row r="227" spans="1:6" s="60" customFormat="1" ht="11.25">
      <c r="A227" s="59" t="s">
        <v>38</v>
      </c>
      <c r="B227" s="55">
        <v>13.9</v>
      </c>
      <c r="C227" s="55">
        <v>1.8849999999999998</v>
      </c>
      <c r="D227" s="55">
        <v>13.435073000000001</v>
      </c>
      <c r="E227" s="55">
        <v>14.294872999999999</v>
      </c>
      <c r="F227" s="66"/>
    </row>
    <row r="228" spans="1:6" s="60" customFormat="1" ht="11.25">
      <c r="A228" s="68" t="s">
        <v>39</v>
      </c>
      <c r="B228" s="88">
        <v>11</v>
      </c>
      <c r="C228" s="88">
        <v>2.2891000000000004</v>
      </c>
      <c r="D228" s="88">
        <v>10.596429</v>
      </c>
      <c r="E228" s="88">
        <v>11.425646</v>
      </c>
      <c r="F228" s="66"/>
    </row>
    <row r="229" spans="1:6" s="60" customFormat="1" ht="11.25">
      <c r="A229" s="59"/>
      <c r="B229" s="65"/>
      <c r="C229" s="65"/>
      <c r="D229" s="65"/>
      <c r="E229" s="65"/>
      <c r="F229" s="66"/>
    </row>
    <row r="230" spans="1:6" s="60" customFormat="1" ht="11.25">
      <c r="A230" s="154" t="s">
        <v>114</v>
      </c>
      <c r="B230" s="155"/>
      <c r="C230" s="155"/>
      <c r="D230" s="155"/>
      <c r="E230" s="155"/>
      <c r="F230" s="66"/>
    </row>
    <row r="231" spans="1:6" s="60" customFormat="1" ht="11.25">
      <c r="A231" s="59" t="s">
        <v>115</v>
      </c>
      <c r="B231" s="62"/>
      <c r="C231" s="62"/>
      <c r="D231" s="62"/>
      <c r="E231" s="62"/>
      <c r="F231" s="66"/>
    </row>
    <row r="232" spans="1:6" s="60" customFormat="1" ht="11.25">
      <c r="A232" s="154" t="s">
        <v>117</v>
      </c>
      <c r="B232" s="155"/>
      <c r="C232" s="155"/>
      <c r="D232" s="155"/>
      <c r="E232" s="155"/>
      <c r="F232" s="66"/>
    </row>
    <row r="233" spans="1:6" s="60" customFormat="1" ht="11.25">
      <c r="A233" s="154" t="s">
        <v>118</v>
      </c>
      <c r="B233" s="155"/>
      <c r="C233" s="155"/>
      <c r="D233" s="155"/>
      <c r="E233" s="155"/>
      <c r="F233" s="66"/>
    </row>
    <row r="234" spans="1:6" s="60" customFormat="1" ht="11.25">
      <c r="A234" s="36" t="s">
        <v>91</v>
      </c>
      <c r="B234" s="62"/>
      <c r="C234" s="62"/>
      <c r="D234" s="62"/>
      <c r="E234" s="62"/>
      <c r="F234" s="66"/>
    </row>
    <row r="235" spans="1:6" s="60" customFormat="1" ht="11.25">
      <c r="A235" s="59"/>
      <c r="B235" s="62"/>
      <c r="C235" s="62"/>
      <c r="D235" s="62"/>
      <c r="E235" s="62"/>
      <c r="F235" s="66"/>
    </row>
    <row r="236" spans="1:6" s="60" customFormat="1" ht="11.25">
      <c r="A236" s="59" t="s">
        <v>119</v>
      </c>
      <c r="B236" s="62"/>
      <c r="C236" s="62"/>
      <c r="D236" s="62"/>
      <c r="E236" s="62"/>
      <c r="F236" s="66"/>
    </row>
    <row r="237" spans="1:6" ht="12.75">
      <c r="A237" s="2"/>
      <c r="B237" s="3"/>
      <c r="C237" s="3"/>
      <c r="D237" s="3"/>
      <c r="E237" s="3"/>
      <c r="F237" s="1"/>
    </row>
    <row r="238" spans="1:6" ht="12.75">
      <c r="A238" s="2"/>
      <c r="B238" s="3"/>
      <c r="C238" s="3"/>
      <c r="D238" s="3"/>
      <c r="E238" s="3"/>
      <c r="F238" s="1"/>
    </row>
    <row r="239" spans="1:6" ht="12.75">
      <c r="A239" s="2"/>
      <c r="B239" s="3"/>
      <c r="C239" s="3"/>
      <c r="D239" s="3"/>
      <c r="E239" s="3"/>
      <c r="F239" s="1"/>
    </row>
    <row r="240" spans="1:6" ht="12.75">
      <c r="A240" s="2"/>
      <c r="B240" s="3"/>
      <c r="C240" s="3"/>
      <c r="D240" s="3"/>
      <c r="E240" s="3"/>
      <c r="F240" s="1"/>
    </row>
    <row r="241" spans="1:6" ht="12.75">
      <c r="A241" s="2"/>
      <c r="B241" s="3"/>
      <c r="C241" s="3"/>
      <c r="D241" s="3"/>
      <c r="E241" s="3"/>
      <c r="F241" s="1"/>
    </row>
    <row r="242" spans="1:6" ht="12.75">
      <c r="A242" s="2"/>
      <c r="B242" s="3"/>
      <c r="C242" s="3"/>
      <c r="D242" s="3"/>
      <c r="E242" s="3"/>
      <c r="F242" s="1"/>
    </row>
    <row r="243" spans="1:6" ht="12.75">
      <c r="A243" s="2"/>
      <c r="B243" s="3"/>
      <c r="C243" s="3"/>
      <c r="D243" s="3"/>
      <c r="E243" s="3"/>
      <c r="F243" s="1"/>
    </row>
    <row r="244" spans="1:6" ht="12.75">
      <c r="A244" s="2"/>
      <c r="B244" s="3"/>
      <c r="C244" s="3"/>
      <c r="D244" s="3"/>
      <c r="E244" s="3"/>
      <c r="F244" s="1"/>
    </row>
    <row r="245" spans="1:6" ht="12.75">
      <c r="A245" s="2"/>
      <c r="B245" s="3"/>
      <c r="C245" s="3"/>
      <c r="D245" s="3"/>
      <c r="E245" s="3"/>
      <c r="F245" s="1"/>
    </row>
    <row r="246" spans="1:6" ht="12.75">
      <c r="A246" s="2"/>
      <c r="B246" s="3"/>
      <c r="C246" s="3"/>
      <c r="D246" s="3"/>
      <c r="E246" s="3"/>
      <c r="F246" s="1"/>
    </row>
    <row r="247" spans="1:6" ht="12.75">
      <c r="A247" s="2"/>
      <c r="B247" s="3"/>
      <c r="C247" s="3"/>
      <c r="D247" s="3"/>
      <c r="E247" s="3"/>
      <c r="F247" s="1"/>
    </row>
    <row r="248" spans="1:6" ht="12.75">
      <c r="A248" s="2"/>
      <c r="B248" s="3"/>
      <c r="C248" s="3"/>
      <c r="D248" s="3"/>
      <c r="E248" s="3"/>
      <c r="F248" s="1"/>
    </row>
    <row r="249" spans="1:6" ht="12.75">
      <c r="A249" s="2"/>
      <c r="B249" s="3"/>
      <c r="C249" s="3"/>
      <c r="D249" s="3"/>
      <c r="E249" s="3"/>
      <c r="F249" s="1"/>
    </row>
    <row r="250" spans="1:6" ht="12.75">
      <c r="A250" s="2"/>
      <c r="B250" s="3"/>
      <c r="C250" s="3"/>
      <c r="D250" s="3"/>
      <c r="E250" s="3"/>
      <c r="F250" s="1"/>
    </row>
    <row r="251" spans="1:6" ht="12.75">
      <c r="A251" s="2"/>
      <c r="B251" s="3"/>
      <c r="C251" s="3"/>
      <c r="D251" s="3"/>
      <c r="E251" s="3"/>
      <c r="F251" s="1"/>
    </row>
    <row r="252" spans="1:6" ht="12.75">
      <c r="A252" s="2"/>
      <c r="B252" s="3"/>
      <c r="C252" s="3"/>
      <c r="D252" s="3"/>
      <c r="E252" s="3"/>
      <c r="F252" s="1"/>
    </row>
    <row r="253" spans="1:6" ht="12.75">
      <c r="A253" s="2"/>
      <c r="B253" s="3"/>
      <c r="C253" s="3"/>
      <c r="D253" s="3"/>
      <c r="E253" s="3"/>
      <c r="F253" s="1"/>
    </row>
    <row r="254" spans="1:6" ht="12.75">
      <c r="A254" s="2"/>
      <c r="B254" s="3"/>
      <c r="C254" s="3"/>
      <c r="D254" s="3"/>
      <c r="E254" s="3"/>
      <c r="F254" s="1"/>
    </row>
    <row r="255" spans="1:6" ht="12.75">
      <c r="A255" s="2"/>
      <c r="B255" s="3"/>
      <c r="C255" s="3"/>
      <c r="D255" s="3"/>
      <c r="E255" s="3"/>
      <c r="F255" s="1"/>
    </row>
    <row r="256" spans="1:6" ht="12.75">
      <c r="A256" s="2"/>
      <c r="B256" s="3"/>
      <c r="C256" s="3"/>
      <c r="D256" s="3"/>
      <c r="E256" s="3"/>
      <c r="F256" s="1"/>
    </row>
  </sheetData>
  <sheetProtection/>
  <mergeCells count="13">
    <mergeCell ref="A3:A4"/>
    <mergeCell ref="A167:A168"/>
    <mergeCell ref="B3:B4"/>
    <mergeCell ref="C3:C4"/>
    <mergeCell ref="B167:B168"/>
    <mergeCell ref="C167:C168"/>
    <mergeCell ref="A1:E1"/>
    <mergeCell ref="A233:E233"/>
    <mergeCell ref="D3:E3"/>
    <mergeCell ref="A165:E165"/>
    <mergeCell ref="D167:E167"/>
    <mergeCell ref="A230:E230"/>
    <mergeCell ref="A232:E2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236"/>
  <sheetViews>
    <sheetView showGridLines="0" zoomScalePageLayoutView="0" workbookViewId="0" topLeftCell="A1">
      <selection activeCell="A1" sqref="A1:E1"/>
    </sheetView>
  </sheetViews>
  <sheetFormatPr defaultColWidth="11.421875" defaultRowHeight="12.75"/>
  <cols>
    <col min="1" max="1" width="77.7109375" style="4" customWidth="1"/>
    <col min="2" max="2" width="12.57421875" style="5" customWidth="1"/>
    <col min="3" max="3" width="11.57421875" style="5" customWidth="1"/>
    <col min="4" max="4" width="12.140625" style="5" customWidth="1"/>
    <col min="5" max="5" width="11.140625" style="5" customWidth="1"/>
    <col min="6" max="16384" width="11.421875" style="4" customWidth="1"/>
  </cols>
  <sheetData>
    <row r="1" spans="1:7" ht="12.75">
      <c r="A1" s="152" t="s">
        <v>124</v>
      </c>
      <c r="B1" s="153"/>
      <c r="C1" s="153"/>
      <c r="D1" s="153"/>
      <c r="E1" s="153"/>
      <c r="F1" s="141"/>
      <c r="G1" s="141"/>
    </row>
    <row r="3" spans="1:5" s="59" customFormat="1" ht="11.25">
      <c r="A3" s="161" t="s">
        <v>121</v>
      </c>
      <c r="B3" s="151" t="s">
        <v>80</v>
      </c>
      <c r="C3" s="151" t="s">
        <v>81</v>
      </c>
      <c r="D3" s="156" t="s">
        <v>84</v>
      </c>
      <c r="E3" s="156"/>
    </row>
    <row r="4" spans="1:5" s="59" customFormat="1" ht="11.25">
      <c r="A4" s="149"/>
      <c r="B4" s="149"/>
      <c r="C4" s="149"/>
      <c r="D4" s="69" t="s">
        <v>82</v>
      </c>
      <c r="E4" s="69" t="s">
        <v>83</v>
      </c>
    </row>
    <row r="5" spans="2:5" s="59" customFormat="1" ht="11.25">
      <c r="B5" s="62"/>
      <c r="C5" s="62"/>
      <c r="D5" s="62"/>
      <c r="E5" s="62"/>
    </row>
    <row r="6" spans="1:5" s="59" customFormat="1" ht="13.5" customHeight="1">
      <c r="A6" s="61" t="s">
        <v>40</v>
      </c>
      <c r="B6" s="79">
        <v>27711687</v>
      </c>
      <c r="C6" s="65"/>
      <c r="D6" s="65"/>
      <c r="E6" s="65"/>
    </row>
    <row r="7" spans="1:5" s="59" customFormat="1" ht="11.25">
      <c r="A7" s="63" t="s">
        <v>1</v>
      </c>
      <c r="B7" s="65"/>
      <c r="C7" s="65"/>
      <c r="D7" s="65"/>
      <c r="E7" s="65"/>
    </row>
    <row r="8" spans="1:5" s="59" customFormat="1" ht="11.25">
      <c r="A8" s="63" t="s">
        <v>2</v>
      </c>
      <c r="B8" s="65"/>
      <c r="C8" s="65"/>
      <c r="D8" s="65"/>
      <c r="E8" s="65"/>
    </row>
    <row r="9" spans="1:5" s="59" customFormat="1" ht="11.25">
      <c r="A9" s="59" t="s">
        <v>3</v>
      </c>
      <c r="B9" s="74">
        <v>8.21</v>
      </c>
      <c r="C9" s="74">
        <v>1.3939</v>
      </c>
      <c r="D9" s="74">
        <v>8.024223</v>
      </c>
      <c r="E9" s="74">
        <v>8.400823</v>
      </c>
    </row>
    <row r="10" spans="1:5" s="59" customFormat="1" ht="11.25">
      <c r="A10" s="59" t="s">
        <v>4</v>
      </c>
      <c r="B10" s="80">
        <v>15.23</v>
      </c>
      <c r="C10" s="74">
        <v>1.0873000000000002</v>
      </c>
      <c r="D10" s="74">
        <v>14.958535000000001</v>
      </c>
      <c r="E10" s="74">
        <v>15.503312</v>
      </c>
    </row>
    <row r="11" spans="1:5" s="59" customFormat="1" ht="11.25">
      <c r="A11" s="59" t="s">
        <v>5</v>
      </c>
      <c r="B11" s="80">
        <v>76.56</v>
      </c>
      <c r="C11" s="74">
        <v>0.24520000000000003</v>
      </c>
      <c r="D11" s="74">
        <v>76.247809</v>
      </c>
      <c r="E11" s="74">
        <v>76.865297</v>
      </c>
    </row>
    <row r="12" spans="1:5" s="59" customFormat="1" ht="11.25">
      <c r="A12" s="63" t="s">
        <v>126</v>
      </c>
      <c r="B12" s="81"/>
      <c r="C12" s="74"/>
      <c r="D12" s="74"/>
      <c r="E12" s="74"/>
    </row>
    <row r="13" spans="1:5" s="59" customFormat="1" ht="11.25">
      <c r="A13" s="59" t="s">
        <v>6</v>
      </c>
      <c r="B13" s="74">
        <f>SUM(B14:B15)</f>
        <v>95.47</v>
      </c>
      <c r="C13" s="74">
        <v>0.1</v>
      </c>
      <c r="D13" s="74">
        <v>95.320441</v>
      </c>
      <c r="E13" s="74">
        <v>95.614746</v>
      </c>
    </row>
    <row r="14" spans="1:5" s="59" customFormat="1" ht="11.25">
      <c r="A14" s="59" t="s">
        <v>7</v>
      </c>
      <c r="B14" s="74">
        <v>74.06</v>
      </c>
      <c r="C14" s="74">
        <v>0.2664</v>
      </c>
      <c r="D14" s="74">
        <v>73.668669</v>
      </c>
      <c r="E14" s="74">
        <v>74.317082</v>
      </c>
    </row>
    <row r="15" spans="1:5" s="59" customFormat="1" ht="11.25">
      <c r="A15" s="59" t="s">
        <v>8</v>
      </c>
      <c r="B15" s="74">
        <v>21.41</v>
      </c>
      <c r="C15" s="74">
        <v>0.8733</v>
      </c>
      <c r="D15" s="74">
        <v>21.083301</v>
      </c>
      <c r="E15" s="74">
        <v>21.697857000000003</v>
      </c>
    </row>
    <row r="16" spans="1:5" s="59" customFormat="1" ht="11.25">
      <c r="A16" s="59" t="s">
        <v>9</v>
      </c>
      <c r="B16" s="74">
        <v>4.54</v>
      </c>
      <c r="C16" s="74">
        <v>1.9737999999999998</v>
      </c>
      <c r="D16" s="74">
        <v>4.385254000000001</v>
      </c>
      <c r="E16" s="74">
        <v>4.679558999999999</v>
      </c>
    </row>
    <row r="17" spans="1:5" s="59" customFormat="1" ht="11.25">
      <c r="A17" s="63" t="s">
        <v>127</v>
      </c>
      <c r="B17" s="53"/>
      <c r="C17" s="53"/>
      <c r="D17" s="53"/>
      <c r="E17" s="53"/>
    </row>
    <row r="18" spans="1:5" s="59" customFormat="1" ht="11.25">
      <c r="A18" s="59" t="s">
        <v>10</v>
      </c>
      <c r="B18" s="74">
        <v>84.16</v>
      </c>
      <c r="C18" s="74">
        <v>0.2019</v>
      </c>
      <c r="D18" s="74">
        <v>83.829645</v>
      </c>
      <c r="E18" s="74">
        <v>84.388381</v>
      </c>
    </row>
    <row r="19" spans="1:5" s="59" customFormat="1" ht="11.25">
      <c r="A19" s="59" t="s">
        <v>11</v>
      </c>
      <c r="B19" s="74">
        <v>15.84</v>
      </c>
      <c r="C19" s="74">
        <v>1.0713</v>
      </c>
      <c r="D19" s="74">
        <v>15.554354</v>
      </c>
      <c r="E19" s="74">
        <v>16.112351</v>
      </c>
    </row>
    <row r="20" spans="1:5" s="59" customFormat="1" ht="11.25">
      <c r="A20" s="63" t="s">
        <v>128</v>
      </c>
      <c r="B20" s="65"/>
      <c r="C20" s="53"/>
      <c r="D20" s="53"/>
      <c r="E20" s="53"/>
    </row>
    <row r="21" spans="1:5" s="59" customFormat="1" ht="11.25">
      <c r="A21" s="59" t="s">
        <v>12</v>
      </c>
      <c r="B21" s="55">
        <v>92.6</v>
      </c>
      <c r="C21" s="55">
        <v>0.1</v>
      </c>
      <c r="D21" s="55">
        <v>92.444806</v>
      </c>
      <c r="E21" s="55">
        <v>92.858891</v>
      </c>
    </row>
    <row r="22" spans="1:5" s="59" customFormat="1" ht="11.25">
      <c r="A22" s="59" t="s">
        <v>13</v>
      </c>
      <c r="B22" s="55">
        <v>7.35</v>
      </c>
      <c r="C22" s="55">
        <v>0.7</v>
      </c>
      <c r="D22" s="55">
        <v>7.141108999999999</v>
      </c>
      <c r="E22" s="55">
        <v>7.555194</v>
      </c>
    </row>
    <row r="23" spans="1:5" s="59" customFormat="1" ht="11.25">
      <c r="A23" s="63" t="s">
        <v>14</v>
      </c>
      <c r="B23" s="65"/>
      <c r="C23" s="53"/>
      <c r="D23" s="53"/>
      <c r="E23" s="53"/>
    </row>
    <row r="24" spans="1:6" s="59" customFormat="1" ht="11.25">
      <c r="A24" s="59" t="s">
        <v>15</v>
      </c>
      <c r="B24" s="82">
        <v>97.2</v>
      </c>
      <c r="C24" s="55">
        <v>0.1</v>
      </c>
      <c r="D24" s="55">
        <v>97.093878</v>
      </c>
      <c r="E24" s="55">
        <v>97.34159</v>
      </c>
      <c r="F24" s="72"/>
    </row>
    <row r="25" spans="1:5" s="59" customFormat="1" ht="11.25">
      <c r="A25" s="59" t="s">
        <v>16</v>
      </c>
      <c r="B25" s="83">
        <v>86.55</v>
      </c>
      <c r="C25" s="55">
        <v>0.21090000000000003</v>
      </c>
      <c r="D25" s="55">
        <v>86.25444399999999</v>
      </c>
      <c r="E25" s="55">
        <v>86.854986</v>
      </c>
    </row>
    <row r="26" spans="1:5" s="59" customFormat="1" ht="11.25">
      <c r="A26" s="59" t="s">
        <v>17</v>
      </c>
      <c r="B26" s="83">
        <v>10.5</v>
      </c>
      <c r="C26" s="55">
        <v>1.6395</v>
      </c>
      <c r="D26" s="55">
        <v>10.179994</v>
      </c>
      <c r="E26" s="55">
        <v>10.744282</v>
      </c>
    </row>
    <row r="27" spans="1:5" s="59" customFormat="1" ht="11.25">
      <c r="A27" s="59" t="s">
        <v>18</v>
      </c>
      <c r="B27" s="84" t="s">
        <v>89</v>
      </c>
      <c r="C27" s="55"/>
      <c r="D27" s="55"/>
      <c r="E27" s="55"/>
    </row>
    <row r="28" spans="1:5" s="59" customFormat="1" ht="11.25">
      <c r="A28" s="59" t="s">
        <v>19</v>
      </c>
      <c r="B28" s="82">
        <v>2.8</v>
      </c>
      <c r="C28" s="55">
        <v>2.7</v>
      </c>
      <c r="D28" s="55">
        <v>2.7</v>
      </c>
      <c r="E28" s="55">
        <v>2.9</v>
      </c>
    </row>
    <row r="29" spans="2:5" s="59" customFormat="1" ht="8.25" customHeight="1">
      <c r="B29" s="82"/>
      <c r="C29" s="55"/>
      <c r="D29" s="55"/>
      <c r="E29" s="55"/>
    </row>
    <row r="30" spans="1:5" s="59" customFormat="1" ht="11.25">
      <c r="A30" s="63" t="s">
        <v>129</v>
      </c>
      <c r="B30" s="65"/>
      <c r="C30" s="53"/>
      <c r="D30" s="53"/>
      <c r="E30" s="53"/>
    </row>
    <row r="31" spans="1:5" s="59" customFormat="1" ht="11.25">
      <c r="A31" s="63" t="s">
        <v>21</v>
      </c>
      <c r="B31" s="65"/>
      <c r="C31" s="53"/>
      <c r="D31" s="53"/>
      <c r="E31" s="53"/>
    </row>
    <row r="32" spans="1:5" s="59" customFormat="1" ht="11.25">
      <c r="A32" s="59" t="s">
        <v>22</v>
      </c>
      <c r="B32" s="55">
        <v>88.36</v>
      </c>
      <c r="C32" s="55">
        <v>0.2022</v>
      </c>
      <c r="D32" s="85">
        <v>88.068473</v>
      </c>
      <c r="E32" s="85">
        <v>88.65617900000001</v>
      </c>
    </row>
    <row r="33" spans="1:5" s="59" customFormat="1" ht="11.25">
      <c r="A33" s="59" t="s">
        <v>23</v>
      </c>
      <c r="B33" s="55">
        <v>11.64</v>
      </c>
      <c r="C33" s="55">
        <v>1.5351</v>
      </c>
      <c r="D33" s="85">
        <v>11.343821</v>
      </c>
      <c r="E33" s="85">
        <v>11.931527</v>
      </c>
    </row>
    <row r="34" spans="1:5" s="59" customFormat="1" ht="11.25">
      <c r="A34" s="63" t="s">
        <v>24</v>
      </c>
      <c r="B34" s="65"/>
      <c r="C34" s="55"/>
      <c r="D34" s="53"/>
      <c r="E34" s="53"/>
    </row>
    <row r="35" spans="1:5" s="59" customFormat="1" ht="11.25">
      <c r="A35" s="59" t="s">
        <v>22</v>
      </c>
      <c r="B35" s="55">
        <v>66.6</v>
      </c>
      <c r="C35" s="55">
        <v>0.3218</v>
      </c>
      <c r="D35" s="85">
        <v>66.247207</v>
      </c>
      <c r="E35" s="85">
        <v>66.952316</v>
      </c>
    </row>
    <row r="36" spans="1:5" s="59" customFormat="1" ht="11.25">
      <c r="A36" s="59" t="s">
        <v>23</v>
      </c>
      <c r="B36" s="55">
        <v>33.4</v>
      </c>
      <c r="C36" s="55">
        <v>0.6417</v>
      </c>
      <c r="D36" s="85">
        <v>33.047684</v>
      </c>
      <c r="E36" s="85">
        <v>33.752793</v>
      </c>
    </row>
    <row r="37" spans="1:5" s="59" customFormat="1" ht="11.25">
      <c r="A37" s="63" t="s">
        <v>25</v>
      </c>
      <c r="B37" s="65"/>
      <c r="C37" s="55"/>
      <c r="D37" s="53"/>
      <c r="E37" s="53"/>
    </row>
    <row r="38" spans="1:5" s="59" customFormat="1" ht="11.25">
      <c r="A38" s="59" t="s">
        <v>22</v>
      </c>
      <c r="B38" s="55">
        <v>65.92</v>
      </c>
      <c r="C38" s="55">
        <v>0.3071</v>
      </c>
      <c r="D38" s="85">
        <v>65.582277</v>
      </c>
      <c r="E38" s="85">
        <v>66.248308</v>
      </c>
    </row>
    <row r="39" spans="1:5" s="59" customFormat="1" ht="11.25">
      <c r="A39" s="59" t="s">
        <v>23</v>
      </c>
      <c r="B39" s="55">
        <v>34.08</v>
      </c>
      <c r="C39" s="55">
        <v>0.594</v>
      </c>
      <c r="D39" s="85">
        <v>33.751692</v>
      </c>
      <c r="E39" s="85">
        <v>34.417723</v>
      </c>
    </row>
    <row r="40" spans="2:5" s="59" customFormat="1" ht="5.25" customHeight="1">
      <c r="B40" s="65"/>
      <c r="C40" s="55"/>
      <c r="D40" s="53"/>
      <c r="E40" s="53"/>
    </row>
    <row r="41" spans="1:5" s="59" customFormat="1" ht="11.25">
      <c r="A41" s="59" t="s">
        <v>26</v>
      </c>
      <c r="B41" s="55">
        <v>50.06</v>
      </c>
      <c r="C41" s="55">
        <v>0.43210000000000004</v>
      </c>
      <c r="D41" s="85">
        <v>49.699384</v>
      </c>
      <c r="E41" s="85">
        <v>50.410877</v>
      </c>
    </row>
    <row r="42" spans="2:5" s="59" customFormat="1" ht="6.75" customHeight="1">
      <c r="B42" s="65"/>
      <c r="C42" s="53"/>
      <c r="D42" s="53"/>
      <c r="E42" s="53"/>
    </row>
    <row r="43" spans="1:5" s="59" customFormat="1" ht="11.25">
      <c r="A43" s="63" t="s">
        <v>27</v>
      </c>
      <c r="B43" s="65"/>
      <c r="C43" s="53"/>
      <c r="D43" s="53"/>
      <c r="E43" s="53"/>
    </row>
    <row r="44" spans="1:5" s="59" customFormat="1" ht="18.75" customHeight="1">
      <c r="A44" s="59" t="s">
        <v>86</v>
      </c>
      <c r="B44" s="83">
        <v>7.7</v>
      </c>
      <c r="C44" s="74">
        <v>1.5942</v>
      </c>
      <c r="D44" s="74">
        <v>7.546074</v>
      </c>
      <c r="E44" s="74">
        <v>7.952489</v>
      </c>
    </row>
    <row r="45" spans="1:5" s="59" customFormat="1" ht="19.5" customHeight="1">
      <c r="A45" s="59" t="s">
        <v>87</v>
      </c>
      <c r="B45" s="83">
        <v>13.02</v>
      </c>
      <c r="C45" s="74">
        <v>1.2904</v>
      </c>
      <c r="D45" s="74">
        <v>12.747205000000001</v>
      </c>
      <c r="E45" s="74">
        <v>13.300085000000001</v>
      </c>
    </row>
    <row r="46" spans="2:5" s="59" customFormat="1" ht="6" customHeight="1">
      <c r="B46" s="65"/>
      <c r="C46" s="53"/>
      <c r="D46" s="53"/>
      <c r="E46" s="53"/>
    </row>
    <row r="47" spans="1:5" s="59" customFormat="1" ht="11.25">
      <c r="A47" s="63" t="s">
        <v>130</v>
      </c>
      <c r="B47" s="65"/>
      <c r="C47" s="53"/>
      <c r="D47" s="53"/>
      <c r="E47" s="53"/>
    </row>
    <row r="48" spans="1:5" s="59" customFormat="1" ht="11.25">
      <c r="A48" s="59" t="s">
        <v>28</v>
      </c>
      <c r="B48" s="55">
        <v>66.76</v>
      </c>
      <c r="C48" s="55">
        <v>0.318</v>
      </c>
      <c r="D48" s="55">
        <v>66.415064</v>
      </c>
      <c r="E48" s="55">
        <v>67.11352600000001</v>
      </c>
    </row>
    <row r="49" spans="1:6" s="59" customFormat="1" ht="11.25">
      <c r="A49" s="59" t="s">
        <v>29</v>
      </c>
      <c r="B49" s="55">
        <v>6.14</v>
      </c>
      <c r="C49" s="55">
        <v>1.823</v>
      </c>
      <c r="D49" s="55">
        <v>5.925884</v>
      </c>
      <c r="E49" s="55">
        <v>6.292259</v>
      </c>
      <c r="F49" s="73"/>
    </row>
    <row r="50" spans="1:5" s="59" customFormat="1" ht="11.25">
      <c r="A50" s="59" t="s">
        <v>30</v>
      </c>
      <c r="B50" s="55">
        <v>15.84</v>
      </c>
      <c r="C50" s="55">
        <v>1.0312</v>
      </c>
      <c r="D50" s="55">
        <v>15.569661000000002</v>
      </c>
      <c r="E50" s="55">
        <v>16.106969</v>
      </c>
    </row>
    <row r="51" spans="1:5" s="59" customFormat="1" ht="11.25">
      <c r="A51" s="59" t="s">
        <v>31</v>
      </c>
      <c r="B51" s="55">
        <v>9.63</v>
      </c>
      <c r="C51" s="55">
        <v>1.3808</v>
      </c>
      <c r="D51" s="55">
        <v>9.412026</v>
      </c>
      <c r="E51" s="55">
        <v>9.849504000000001</v>
      </c>
    </row>
    <row r="52" spans="1:5" s="59" customFormat="1" ht="11.25">
      <c r="A52" s="59" t="s">
        <v>32</v>
      </c>
      <c r="B52" s="55">
        <v>1.6</v>
      </c>
      <c r="C52" s="55">
        <v>3.2706</v>
      </c>
      <c r="D52" s="55">
        <v>1.513849</v>
      </c>
      <c r="E52" s="55">
        <v>1.685989</v>
      </c>
    </row>
    <row r="53" spans="1:5" s="59" customFormat="1" ht="11.25">
      <c r="A53" s="63" t="s">
        <v>41</v>
      </c>
      <c r="B53" s="65"/>
      <c r="C53" s="53"/>
      <c r="D53" s="53"/>
      <c r="E53" s="53"/>
    </row>
    <row r="54" spans="1:5" s="59" customFormat="1" ht="11.25">
      <c r="A54" s="63" t="s">
        <v>42</v>
      </c>
      <c r="B54" s="65"/>
      <c r="C54" s="53"/>
      <c r="D54" s="53"/>
      <c r="E54" s="53"/>
    </row>
    <row r="55" spans="1:5" s="59" customFormat="1" ht="11.25">
      <c r="A55" s="59" t="s">
        <v>43</v>
      </c>
      <c r="B55" s="80">
        <v>69.52</v>
      </c>
      <c r="C55" s="55">
        <v>0.2946</v>
      </c>
      <c r="D55" s="55">
        <v>69.183936</v>
      </c>
      <c r="E55" s="55">
        <v>69.857593</v>
      </c>
    </row>
    <row r="56" spans="1:5" s="59" customFormat="1" ht="11.25">
      <c r="A56" s="59" t="s">
        <v>44</v>
      </c>
      <c r="B56" s="80">
        <v>30.21</v>
      </c>
      <c r="C56" s="55">
        <v>0.6757</v>
      </c>
      <c r="D56" s="55">
        <v>29.872774000000003</v>
      </c>
      <c r="E56" s="55">
        <v>30.544231</v>
      </c>
    </row>
    <row r="57" spans="1:5" s="59" customFormat="1" ht="11.25">
      <c r="A57" s="59" t="s">
        <v>45</v>
      </c>
      <c r="B57" s="80">
        <v>0.27</v>
      </c>
      <c r="C57" s="55">
        <v>10.2311</v>
      </c>
      <c r="D57" s="55">
        <v>0.225172</v>
      </c>
      <c r="E57" s="55">
        <v>0.316295</v>
      </c>
    </row>
    <row r="58" spans="1:5" s="59" customFormat="1" ht="12.75" customHeight="1">
      <c r="A58" s="63" t="s">
        <v>46</v>
      </c>
      <c r="B58" s="65"/>
      <c r="C58" s="53"/>
      <c r="D58" s="53"/>
      <c r="E58" s="53"/>
    </row>
    <row r="59" spans="1:5" s="59" customFormat="1" ht="11.25">
      <c r="A59" s="63" t="s">
        <v>47</v>
      </c>
      <c r="B59" s="65"/>
      <c r="C59" s="53"/>
      <c r="D59" s="53"/>
      <c r="E59" s="53"/>
    </row>
    <row r="60" spans="1:5" s="59" customFormat="1" ht="11.25">
      <c r="A60" s="59" t="s">
        <v>48</v>
      </c>
      <c r="B60" s="83">
        <v>70.97</v>
      </c>
      <c r="C60" s="55">
        <v>0.39430000000000004</v>
      </c>
      <c r="D60" s="55">
        <v>70.513896</v>
      </c>
      <c r="E60" s="55">
        <v>71.434544</v>
      </c>
    </row>
    <row r="61" spans="1:5" s="59" customFormat="1" ht="11.25">
      <c r="A61" s="59" t="s">
        <v>49</v>
      </c>
      <c r="B61" s="83">
        <v>28.75</v>
      </c>
      <c r="C61" s="55">
        <v>0.9696</v>
      </c>
      <c r="D61" s="55">
        <v>28.296052</v>
      </c>
      <c r="E61" s="55">
        <v>29.213241</v>
      </c>
    </row>
    <row r="62" spans="1:5" s="59" customFormat="1" ht="11.25">
      <c r="A62" s="59" t="s">
        <v>50</v>
      </c>
      <c r="B62" s="83">
        <v>0.27</v>
      </c>
      <c r="C62" s="55">
        <v>14.3518</v>
      </c>
      <c r="D62" s="55">
        <v>0.207128</v>
      </c>
      <c r="E62" s="55">
        <v>0.335141</v>
      </c>
    </row>
    <row r="63" spans="1:5" s="59" customFormat="1" ht="11.25">
      <c r="A63" s="63" t="s">
        <v>51</v>
      </c>
      <c r="B63" s="65"/>
      <c r="C63" s="53"/>
      <c r="D63" s="53"/>
      <c r="E63" s="53"/>
    </row>
    <row r="64" spans="1:5" s="59" customFormat="1" ht="15" customHeight="1">
      <c r="A64" s="59" t="s">
        <v>48</v>
      </c>
      <c r="B64" s="83">
        <v>67.94</v>
      </c>
      <c r="C64" s="55">
        <v>0.4413</v>
      </c>
      <c r="D64" s="55">
        <v>67.451498</v>
      </c>
      <c r="E64" s="55">
        <v>68.437945</v>
      </c>
    </row>
    <row r="65" spans="1:5" s="59" customFormat="1" ht="11.25">
      <c r="A65" s="59" t="s">
        <v>49</v>
      </c>
      <c r="B65" s="83">
        <v>31.78</v>
      </c>
      <c r="C65" s="55">
        <v>0.9408</v>
      </c>
      <c r="D65" s="55">
        <v>31.293131000000002</v>
      </c>
      <c r="E65" s="55">
        <v>32.276828</v>
      </c>
    </row>
    <row r="66" spans="1:5" s="59" customFormat="1" ht="11.25">
      <c r="A66" s="59" t="s">
        <v>50</v>
      </c>
      <c r="B66" s="83">
        <v>0.27</v>
      </c>
      <c r="C66" s="55">
        <v>14.579</v>
      </c>
      <c r="D66" s="55">
        <v>0.205479</v>
      </c>
      <c r="E66" s="55">
        <v>0.335119</v>
      </c>
    </row>
    <row r="67" spans="1:5" s="59" customFormat="1" ht="11.25">
      <c r="A67" s="63" t="s">
        <v>52</v>
      </c>
      <c r="B67" s="65"/>
      <c r="C67" s="53"/>
      <c r="D67" s="53"/>
      <c r="E67" s="53"/>
    </row>
    <row r="68" spans="1:5" s="59" customFormat="1" ht="11.25">
      <c r="A68" s="63" t="s">
        <v>53</v>
      </c>
      <c r="B68" s="65"/>
      <c r="C68" s="53"/>
      <c r="D68" s="53"/>
      <c r="E68" s="53"/>
    </row>
    <row r="69" spans="1:5" s="59" customFormat="1" ht="15" customHeight="1">
      <c r="A69" s="59" t="s">
        <v>48</v>
      </c>
      <c r="B69" s="83">
        <v>60.16</v>
      </c>
      <c r="C69" s="55">
        <v>0.6989000000000001</v>
      </c>
      <c r="D69" s="55">
        <v>59.449989</v>
      </c>
      <c r="E69" s="55">
        <v>60.832799</v>
      </c>
    </row>
    <row r="70" spans="1:5" s="59" customFormat="1" ht="11.25">
      <c r="A70" s="59" t="s">
        <v>49</v>
      </c>
      <c r="B70" s="83">
        <v>39.55</v>
      </c>
      <c r="C70" s="55">
        <v>1.0612</v>
      </c>
      <c r="D70" s="55">
        <v>38.854929</v>
      </c>
      <c r="E70" s="55">
        <v>40.235507</v>
      </c>
    </row>
    <row r="71" spans="1:5" s="59" customFormat="1" ht="11.25">
      <c r="A71" s="59" t="s">
        <v>50</v>
      </c>
      <c r="B71" s="83">
        <v>0.31</v>
      </c>
      <c r="C71" s="55">
        <v>19.1173</v>
      </c>
      <c r="D71" s="55">
        <v>0.21484</v>
      </c>
      <c r="E71" s="55">
        <v>0.41193599999999997</v>
      </c>
    </row>
    <row r="72" spans="1:5" s="59" customFormat="1" ht="11.25">
      <c r="A72" s="63" t="s">
        <v>54</v>
      </c>
      <c r="B72" s="65"/>
      <c r="C72" s="53"/>
      <c r="D72" s="53"/>
      <c r="E72" s="53"/>
    </row>
    <row r="73" spans="1:5" s="59" customFormat="1" ht="15" customHeight="1">
      <c r="A73" s="59" t="s">
        <v>48</v>
      </c>
      <c r="B73" s="83">
        <v>67.42</v>
      </c>
      <c r="C73" s="55">
        <v>0.3987</v>
      </c>
      <c r="D73" s="55">
        <v>66.975043</v>
      </c>
      <c r="E73" s="55">
        <v>67.859238</v>
      </c>
    </row>
    <row r="74" spans="1:5" s="59" customFormat="1" ht="11.25">
      <c r="A74" s="59" t="s">
        <v>49</v>
      </c>
      <c r="B74" s="83">
        <v>32.29</v>
      </c>
      <c r="C74" s="55">
        <v>0.8299000000000001</v>
      </c>
      <c r="D74" s="55">
        <v>31.852006</v>
      </c>
      <c r="E74" s="55">
        <v>32.733706</v>
      </c>
    </row>
    <row r="75" spans="1:5" s="59" customFormat="1" ht="11.25">
      <c r="A75" s="59" t="s">
        <v>50</v>
      </c>
      <c r="B75" s="83">
        <v>0.29</v>
      </c>
      <c r="C75" s="55">
        <v>12.425899999999999</v>
      </c>
      <c r="D75" s="55">
        <v>0.23072900000000002</v>
      </c>
      <c r="E75" s="55">
        <v>0.349277</v>
      </c>
    </row>
    <row r="76" spans="1:5" s="59" customFormat="1" ht="11.25">
      <c r="A76" s="63" t="s">
        <v>55</v>
      </c>
      <c r="B76" s="65"/>
      <c r="C76" s="53"/>
      <c r="D76" s="53"/>
      <c r="E76" s="53"/>
    </row>
    <row r="77" spans="1:5" s="59" customFormat="1" ht="15" customHeight="1">
      <c r="A77" s="59" t="s">
        <v>48</v>
      </c>
      <c r="B77" s="83">
        <v>97.71</v>
      </c>
      <c r="C77" s="55">
        <v>0.2042</v>
      </c>
      <c r="D77" s="55">
        <v>97.379483</v>
      </c>
      <c r="E77" s="55">
        <v>98.036023</v>
      </c>
    </row>
    <row r="78" spans="1:5" s="59" customFormat="1" ht="11.25">
      <c r="A78" s="59" t="s">
        <v>49</v>
      </c>
      <c r="B78" s="83">
        <v>2.19</v>
      </c>
      <c r="C78" s="55">
        <v>8.8213</v>
      </c>
      <c r="D78" s="55">
        <v>1.8751</v>
      </c>
      <c r="E78" s="55">
        <v>2.5116449999999997</v>
      </c>
    </row>
    <row r="79" spans="1:5" s="59" customFormat="1" ht="11.25">
      <c r="A79" s="59" t="s">
        <v>50</v>
      </c>
      <c r="B79" s="83">
        <v>0.1</v>
      </c>
      <c r="C79" s="55">
        <v>50.619899999999994</v>
      </c>
      <c r="D79" s="55">
        <v>0.016544</v>
      </c>
      <c r="E79" s="55">
        <v>0.181205</v>
      </c>
    </row>
    <row r="80" spans="2:5" s="59" customFormat="1" ht="6.75" customHeight="1">
      <c r="B80" s="65"/>
      <c r="C80" s="65"/>
      <c r="D80" s="65"/>
      <c r="E80" s="65"/>
    </row>
    <row r="81" spans="1:5" s="59" customFormat="1" ht="11.25">
      <c r="A81" s="63" t="s">
        <v>131</v>
      </c>
      <c r="B81" s="65"/>
      <c r="C81" s="65"/>
      <c r="D81" s="65"/>
      <c r="E81" s="65"/>
    </row>
    <row r="82" spans="1:5" s="59" customFormat="1" ht="11.25">
      <c r="A82" s="75" t="s">
        <v>108</v>
      </c>
      <c r="B82" s="65"/>
      <c r="C82" s="65"/>
      <c r="D82" s="65"/>
      <c r="E82" s="65"/>
    </row>
    <row r="83" spans="1:5" s="59" customFormat="1" ht="11.25">
      <c r="A83" s="59" t="s">
        <v>35</v>
      </c>
      <c r="B83" s="55">
        <v>6.09</v>
      </c>
      <c r="C83" s="55">
        <v>3.725</v>
      </c>
      <c r="D83" s="55">
        <v>5.719</v>
      </c>
      <c r="E83" s="55">
        <v>6.466</v>
      </c>
    </row>
    <row r="84" spans="1:5" s="59" customFormat="1" ht="11.25">
      <c r="A84" s="59" t="s">
        <v>36</v>
      </c>
      <c r="B84" s="55">
        <v>42.4</v>
      </c>
      <c r="C84" s="55">
        <v>1.136</v>
      </c>
      <c r="D84" s="55">
        <v>41.608</v>
      </c>
      <c r="E84" s="55">
        <v>43.193</v>
      </c>
    </row>
    <row r="85" spans="1:5" s="59" customFormat="1" ht="11.25">
      <c r="A85" s="59" t="s">
        <v>37</v>
      </c>
      <c r="B85" s="55">
        <v>33.43</v>
      </c>
      <c r="C85" s="55">
        <v>1.37</v>
      </c>
      <c r="D85" s="55">
        <v>32.674</v>
      </c>
      <c r="E85" s="55">
        <v>34.181</v>
      </c>
    </row>
    <row r="86" spans="1:5" s="59" customFormat="1" ht="11.25">
      <c r="A86" s="59" t="s">
        <v>38</v>
      </c>
      <c r="B86" s="55">
        <v>10.41</v>
      </c>
      <c r="C86" s="55">
        <v>2.678</v>
      </c>
      <c r="D86" s="55">
        <v>9.95</v>
      </c>
      <c r="E86" s="55">
        <v>10.87</v>
      </c>
    </row>
    <row r="87" spans="1:5" s="59" customFormat="1" ht="11.25">
      <c r="A87" s="59" t="s">
        <v>39</v>
      </c>
      <c r="B87" s="55">
        <v>7.67</v>
      </c>
      <c r="C87" s="55">
        <v>3.516</v>
      </c>
      <c r="D87" s="55">
        <v>7.22</v>
      </c>
      <c r="E87" s="55">
        <v>8.108</v>
      </c>
    </row>
    <row r="88" spans="1:5" s="59" customFormat="1" ht="11.25">
      <c r="A88" s="63" t="s">
        <v>56</v>
      </c>
      <c r="B88" s="65"/>
      <c r="C88" s="65"/>
      <c r="D88" s="65"/>
      <c r="E88" s="65"/>
    </row>
    <row r="89" spans="1:5" s="59" customFormat="1" ht="11.25">
      <c r="A89" s="59" t="s">
        <v>57</v>
      </c>
      <c r="B89" s="83">
        <v>96.4</v>
      </c>
      <c r="C89" s="55">
        <v>0.18660000000000002</v>
      </c>
      <c r="D89" s="53">
        <v>96.187162</v>
      </c>
      <c r="E89" s="53">
        <v>96.779551</v>
      </c>
    </row>
    <row r="90" spans="1:5" s="59" customFormat="1" ht="11.25">
      <c r="A90" s="59" t="s">
        <v>58</v>
      </c>
      <c r="B90" s="83">
        <v>3.6</v>
      </c>
      <c r="C90" s="55">
        <v>5.1204</v>
      </c>
      <c r="D90" s="53">
        <v>3.2204490000000003</v>
      </c>
      <c r="E90" s="53">
        <v>3.812838</v>
      </c>
    </row>
    <row r="91" spans="1:5" s="59" customFormat="1" ht="11.25">
      <c r="A91" s="63" t="s">
        <v>52</v>
      </c>
      <c r="B91" s="65"/>
      <c r="C91" s="65"/>
      <c r="D91" s="65"/>
      <c r="E91" s="65"/>
    </row>
    <row r="92" spans="1:5" s="59" customFormat="1" ht="11.25">
      <c r="A92" s="59" t="s">
        <v>59</v>
      </c>
      <c r="B92" s="65"/>
      <c r="C92" s="65"/>
      <c r="D92" s="65"/>
      <c r="E92" s="65"/>
    </row>
    <row r="93" spans="1:5" s="59" customFormat="1" ht="11.25">
      <c r="A93" s="59" t="s">
        <v>57</v>
      </c>
      <c r="B93" s="83">
        <v>90.57</v>
      </c>
      <c r="C93" s="85">
        <v>1.0002</v>
      </c>
      <c r="D93" s="85">
        <v>89.07743099999999</v>
      </c>
      <c r="E93" s="85">
        <v>92.059178</v>
      </c>
    </row>
    <row r="94" spans="1:5" s="59" customFormat="1" ht="11.25">
      <c r="A94" s="59" t="s">
        <v>58</v>
      </c>
      <c r="B94" s="83">
        <v>9.43</v>
      </c>
      <c r="C94" s="85">
        <v>9.6047</v>
      </c>
      <c r="D94" s="85">
        <v>7.940822</v>
      </c>
      <c r="E94" s="85">
        <v>10.922569</v>
      </c>
    </row>
    <row r="95" spans="1:5" s="59" customFormat="1" ht="11.25">
      <c r="A95" s="59" t="s">
        <v>60</v>
      </c>
      <c r="B95" s="65"/>
      <c r="C95" s="65"/>
      <c r="D95" s="65"/>
      <c r="E95" s="65"/>
    </row>
    <row r="96" spans="1:5" s="59" customFormat="1" ht="11.25">
      <c r="A96" s="59" t="s">
        <v>57</v>
      </c>
      <c r="B96" s="83">
        <v>98.48</v>
      </c>
      <c r="C96" s="85">
        <v>0.1549</v>
      </c>
      <c r="D96" s="85">
        <v>98.232354</v>
      </c>
      <c r="E96" s="85">
        <v>98.734091</v>
      </c>
    </row>
    <row r="97" spans="1:5" s="59" customFormat="1" ht="11.25">
      <c r="A97" s="59" t="s">
        <v>58</v>
      </c>
      <c r="B97" s="83">
        <v>1.52</v>
      </c>
      <c r="C97" s="85">
        <v>10.0548</v>
      </c>
      <c r="D97" s="85">
        <v>1.265909</v>
      </c>
      <c r="E97" s="85">
        <v>1.767646</v>
      </c>
    </row>
    <row r="98" spans="1:5" s="59" customFormat="1" ht="11.25">
      <c r="A98" s="59" t="s">
        <v>61</v>
      </c>
      <c r="B98" s="65"/>
      <c r="C98" s="65"/>
      <c r="D98" s="65"/>
      <c r="E98" s="65"/>
    </row>
    <row r="99" spans="1:5" s="59" customFormat="1" ht="11.25">
      <c r="A99" s="59" t="s">
        <v>57</v>
      </c>
      <c r="B99" s="83">
        <v>91.5</v>
      </c>
      <c r="C99" s="85">
        <v>0.6274</v>
      </c>
      <c r="D99" s="85">
        <v>90.488176</v>
      </c>
      <c r="E99" s="85">
        <v>92.37571700000001</v>
      </c>
    </row>
    <row r="100" spans="1:5" s="59" customFormat="1" ht="11.25">
      <c r="A100" s="59" t="s">
        <v>58</v>
      </c>
      <c r="B100" s="83">
        <v>8.5</v>
      </c>
      <c r="C100" s="85">
        <v>6.6955</v>
      </c>
      <c r="D100" s="85">
        <v>7.624283</v>
      </c>
      <c r="E100" s="85">
        <v>9.511824</v>
      </c>
    </row>
    <row r="101" spans="1:5" s="59" customFormat="1" ht="11.25">
      <c r="A101" s="63" t="s">
        <v>62</v>
      </c>
      <c r="B101" s="65"/>
      <c r="C101" s="65"/>
      <c r="D101" s="65"/>
      <c r="E101" s="65"/>
    </row>
    <row r="102" spans="1:5" s="59" customFormat="1" ht="11.25">
      <c r="A102" s="63" t="s">
        <v>35</v>
      </c>
      <c r="B102" s="65"/>
      <c r="C102" s="65"/>
      <c r="D102" s="65"/>
      <c r="E102" s="65"/>
    </row>
    <row r="103" spans="1:5" s="59" customFormat="1" ht="11.25">
      <c r="A103" s="59" t="s">
        <v>57</v>
      </c>
      <c r="B103" s="55">
        <v>93.006</v>
      </c>
      <c r="C103" s="55">
        <v>1.075</v>
      </c>
      <c r="D103" s="55">
        <v>91.416</v>
      </c>
      <c r="E103" s="55">
        <v>94.709</v>
      </c>
    </row>
    <row r="104" spans="1:5" s="59" customFormat="1" ht="11.25">
      <c r="A104" s="59" t="s">
        <v>58</v>
      </c>
      <c r="B104" s="55">
        <v>6.94</v>
      </c>
      <c r="C104" s="55">
        <v>14.42</v>
      </c>
      <c r="D104" s="55">
        <v>5.2903</v>
      </c>
      <c r="E104" s="55">
        <v>8.583</v>
      </c>
    </row>
    <row r="105" spans="1:5" s="59" customFormat="1" ht="11.25">
      <c r="A105" s="63" t="s">
        <v>36</v>
      </c>
      <c r="B105" s="65"/>
      <c r="C105" s="65"/>
      <c r="D105" s="65"/>
      <c r="E105" s="65"/>
    </row>
    <row r="106" spans="1:5" s="59" customFormat="1" ht="11.25">
      <c r="A106" s="59" t="s">
        <v>57</v>
      </c>
      <c r="B106" s="83">
        <v>95.34</v>
      </c>
      <c r="C106" s="55">
        <v>0.3707</v>
      </c>
      <c r="D106" s="55">
        <v>94.75944899999999</v>
      </c>
      <c r="E106" s="55">
        <v>95.922191</v>
      </c>
    </row>
    <row r="107" spans="1:5" s="59" customFormat="1" ht="11.25">
      <c r="A107" s="59" t="s">
        <v>58</v>
      </c>
      <c r="B107" s="83">
        <v>4.66</v>
      </c>
      <c r="C107" s="55">
        <v>7.5852</v>
      </c>
      <c r="D107" s="55">
        <v>4.077809</v>
      </c>
      <c r="E107" s="55">
        <v>5.240551</v>
      </c>
    </row>
    <row r="108" spans="1:5" s="59" customFormat="1" ht="11.25">
      <c r="A108" s="63" t="s">
        <v>37</v>
      </c>
      <c r="B108" s="65"/>
      <c r="C108" s="78"/>
      <c r="D108" s="78"/>
      <c r="E108" s="78"/>
    </row>
    <row r="109" spans="1:5" s="59" customFormat="1" ht="11.25">
      <c r="A109" s="59" t="s">
        <v>57</v>
      </c>
      <c r="B109" s="83">
        <v>97.72</v>
      </c>
      <c r="C109" s="55">
        <v>0.27430000000000004</v>
      </c>
      <c r="D109" s="55">
        <v>97.276045</v>
      </c>
      <c r="E109" s="55">
        <v>98.158078</v>
      </c>
    </row>
    <row r="110" spans="1:5" s="59" customFormat="1" ht="11.25">
      <c r="A110" s="59" t="s">
        <v>58</v>
      </c>
      <c r="B110" s="83">
        <v>2.28</v>
      </c>
      <c r="C110" s="55">
        <v>11.7429</v>
      </c>
      <c r="D110" s="55">
        <v>1.841922</v>
      </c>
      <c r="E110" s="55">
        <v>2.723955</v>
      </c>
    </row>
    <row r="111" spans="1:5" s="59" customFormat="1" ht="11.25">
      <c r="A111" s="63" t="s">
        <v>38</v>
      </c>
      <c r="B111" s="65"/>
      <c r="C111" s="65"/>
      <c r="D111" s="65"/>
      <c r="E111" s="65"/>
    </row>
    <row r="112" spans="1:5" s="59" customFormat="1" ht="11.25">
      <c r="A112" s="59" t="s">
        <v>57</v>
      </c>
      <c r="B112" s="55">
        <v>97.9</v>
      </c>
      <c r="C112" s="55">
        <v>0.3654</v>
      </c>
      <c r="D112" s="55">
        <v>97.772065</v>
      </c>
      <c r="E112" s="55">
        <v>98.955018</v>
      </c>
    </row>
    <row r="113" spans="1:5" s="59" customFormat="1" ht="11.25">
      <c r="A113" s="59" t="s">
        <v>58</v>
      </c>
      <c r="B113" s="86" t="s">
        <v>89</v>
      </c>
      <c r="C113" s="55"/>
      <c r="D113" s="55"/>
      <c r="E113" s="55"/>
    </row>
    <row r="114" spans="1:5" s="59" customFormat="1" ht="11.25">
      <c r="A114" s="63" t="s">
        <v>39</v>
      </c>
      <c r="B114" s="65"/>
      <c r="C114" s="65"/>
      <c r="D114" s="65"/>
      <c r="E114" s="65"/>
    </row>
    <row r="115" spans="1:5" s="59" customFormat="1" ht="11.25">
      <c r="A115" s="59" t="s">
        <v>57</v>
      </c>
      <c r="B115" s="83">
        <v>97.7</v>
      </c>
      <c r="C115" s="55">
        <v>0.6106999999999999</v>
      </c>
      <c r="D115" s="55">
        <v>96.81992699999999</v>
      </c>
      <c r="E115" s="55">
        <v>98.785963</v>
      </c>
    </row>
    <row r="116" spans="1:5" s="59" customFormat="1" ht="11.25">
      <c r="A116" s="59" t="s">
        <v>58</v>
      </c>
      <c r="B116" s="86" t="s">
        <v>89</v>
      </c>
      <c r="C116" s="55"/>
      <c r="D116" s="55"/>
      <c r="E116" s="55"/>
    </row>
    <row r="117" spans="1:5" s="59" customFormat="1" ht="11.25">
      <c r="A117" s="63" t="s">
        <v>63</v>
      </c>
      <c r="B117" s="65"/>
      <c r="C117" s="65"/>
      <c r="D117" s="65"/>
      <c r="E117" s="65"/>
    </row>
    <row r="118" spans="1:5" s="59" customFormat="1" ht="11.25">
      <c r="A118" s="59" t="s">
        <v>57</v>
      </c>
      <c r="B118" s="83">
        <v>48.24</v>
      </c>
      <c r="C118" s="82">
        <v>1.3</v>
      </c>
      <c r="D118" s="55">
        <v>46.6624</v>
      </c>
      <c r="E118" s="55">
        <v>49.876</v>
      </c>
    </row>
    <row r="119" spans="1:5" s="59" customFormat="1" ht="11.25">
      <c r="A119" s="59" t="s">
        <v>58</v>
      </c>
      <c r="B119" s="83">
        <v>51.76</v>
      </c>
      <c r="C119" s="82">
        <v>1.3</v>
      </c>
      <c r="D119" s="55">
        <v>50.6374</v>
      </c>
      <c r="E119" s="55">
        <v>52.76</v>
      </c>
    </row>
    <row r="120" spans="1:5" s="59" customFormat="1" ht="11.25">
      <c r="A120" s="63" t="s">
        <v>64</v>
      </c>
      <c r="B120" s="65"/>
      <c r="C120" s="65"/>
      <c r="D120" s="65"/>
      <c r="E120" s="65"/>
    </row>
    <row r="121" spans="1:5" s="59" customFormat="1" ht="11.25">
      <c r="A121" s="59" t="s">
        <v>65</v>
      </c>
      <c r="B121" s="65"/>
      <c r="C121" s="65"/>
      <c r="D121" s="65"/>
      <c r="E121" s="65"/>
    </row>
    <row r="122" spans="1:5" s="59" customFormat="1" ht="11.25">
      <c r="A122" s="59" t="s">
        <v>66</v>
      </c>
      <c r="B122" s="86" t="s">
        <v>89</v>
      </c>
      <c r="C122" s="55"/>
      <c r="D122" s="55"/>
      <c r="E122" s="55"/>
    </row>
    <row r="123" spans="1:5" s="59" customFormat="1" ht="11.25">
      <c r="A123" s="59" t="s">
        <v>67</v>
      </c>
      <c r="B123" s="55">
        <v>24.4</v>
      </c>
      <c r="C123" s="55">
        <v>3.2508000000000004</v>
      </c>
      <c r="D123" s="55">
        <v>23.160239</v>
      </c>
      <c r="E123" s="55">
        <v>25.77732</v>
      </c>
    </row>
    <row r="124" spans="1:5" s="59" customFormat="1" ht="11.25">
      <c r="A124" s="59" t="s">
        <v>68</v>
      </c>
      <c r="B124" s="55">
        <v>74.3</v>
      </c>
      <c r="C124" s="55">
        <v>1.0976</v>
      </c>
      <c r="D124" s="55">
        <v>72.84035800000001</v>
      </c>
      <c r="E124" s="55">
        <v>75.519061</v>
      </c>
    </row>
    <row r="125" spans="1:5" s="59" customFormat="1" ht="11.25">
      <c r="A125" s="59" t="s">
        <v>69</v>
      </c>
      <c r="B125" s="86" t="s">
        <v>89</v>
      </c>
      <c r="C125" s="55"/>
      <c r="D125" s="55"/>
      <c r="E125" s="55"/>
    </row>
    <row r="126" spans="1:5" s="59" customFormat="1" ht="11.25">
      <c r="A126" s="63" t="s">
        <v>70</v>
      </c>
      <c r="B126" s="65"/>
      <c r="C126" s="65"/>
      <c r="D126" s="65"/>
      <c r="E126" s="65"/>
    </row>
    <row r="127" spans="1:5" s="59" customFormat="1" ht="11.25">
      <c r="A127" s="59" t="s">
        <v>71</v>
      </c>
      <c r="B127" s="87"/>
      <c r="C127" s="65"/>
      <c r="D127" s="65"/>
      <c r="E127" s="65"/>
    </row>
    <row r="128" spans="1:5" s="59" customFormat="1" ht="11.25">
      <c r="A128" s="59" t="s">
        <v>72</v>
      </c>
      <c r="B128" s="83">
        <v>3.91</v>
      </c>
      <c r="C128" s="55">
        <v>8.402099999999999</v>
      </c>
      <c r="D128" s="55">
        <v>3.371403</v>
      </c>
      <c r="E128" s="55">
        <v>4.452877</v>
      </c>
    </row>
    <row r="129" spans="1:5" s="59" customFormat="1" ht="11.25">
      <c r="A129" s="59" t="s">
        <v>73</v>
      </c>
      <c r="B129" s="83">
        <v>9.37</v>
      </c>
      <c r="C129" s="55">
        <v>5.7866</v>
      </c>
      <c r="D129" s="55">
        <v>8.47402</v>
      </c>
      <c r="E129" s="55">
        <v>10.257102999999999</v>
      </c>
    </row>
    <row r="130" spans="1:5" s="59" customFormat="1" ht="11.25">
      <c r="A130" s="59" t="s">
        <v>74</v>
      </c>
      <c r="B130" s="83">
        <v>28.67</v>
      </c>
      <c r="C130" s="55">
        <v>2.8535</v>
      </c>
      <c r="D130" s="55">
        <v>27.327245</v>
      </c>
      <c r="E130" s="55">
        <v>30.019209000000004</v>
      </c>
    </row>
    <row r="131" spans="1:5" s="59" customFormat="1" ht="11.25">
      <c r="A131" s="59" t="s">
        <v>75</v>
      </c>
      <c r="B131" s="83">
        <v>49</v>
      </c>
      <c r="C131" s="55">
        <v>1.8821</v>
      </c>
      <c r="D131" s="55">
        <v>47.407126</v>
      </c>
      <c r="E131" s="55">
        <v>50.436566000000006</v>
      </c>
    </row>
    <row r="132" spans="1:5" s="59" customFormat="1" ht="11.25">
      <c r="A132" s="59" t="s">
        <v>76</v>
      </c>
      <c r="B132" s="83">
        <v>3.5</v>
      </c>
      <c r="C132" s="55">
        <v>9.041599999999999</v>
      </c>
      <c r="D132" s="55">
        <v>3.029534</v>
      </c>
      <c r="E132" s="55">
        <v>4.088234</v>
      </c>
    </row>
    <row r="133" spans="1:5" s="59" customFormat="1" ht="11.25">
      <c r="A133" s="59" t="s">
        <v>77</v>
      </c>
      <c r="B133" s="83">
        <v>5.5</v>
      </c>
      <c r="C133" s="55">
        <v>7.692200000000001</v>
      </c>
      <c r="D133" s="55">
        <v>4.863708</v>
      </c>
      <c r="E133" s="55">
        <v>6.2729729999999995</v>
      </c>
    </row>
    <row r="134" spans="1:5" s="59" customFormat="1" ht="11.25">
      <c r="A134" s="63" t="s">
        <v>88</v>
      </c>
      <c r="B134" s="65"/>
      <c r="C134" s="65"/>
      <c r="D134" s="65"/>
      <c r="E134" s="65"/>
    </row>
    <row r="135" spans="1:5" s="59" customFormat="1" ht="11.25">
      <c r="A135" s="63" t="s">
        <v>78</v>
      </c>
      <c r="B135" s="65"/>
      <c r="C135" s="65"/>
      <c r="D135" s="65"/>
      <c r="E135" s="65"/>
    </row>
    <row r="136" spans="1:5" s="59" customFormat="1" ht="11.25">
      <c r="A136" s="59" t="s">
        <v>72</v>
      </c>
      <c r="B136" s="55">
        <v>2.69</v>
      </c>
      <c r="C136" s="55">
        <v>8.977599999999999</v>
      </c>
      <c r="D136" s="55">
        <v>2.2962759999999998</v>
      </c>
      <c r="E136" s="55">
        <v>3.092043</v>
      </c>
    </row>
    <row r="137" spans="1:5" s="59" customFormat="1" ht="11.25">
      <c r="A137" s="59" t="s">
        <v>73</v>
      </c>
      <c r="B137" s="55">
        <v>7.49</v>
      </c>
      <c r="C137" s="55">
        <v>5.711</v>
      </c>
      <c r="D137" s="55">
        <v>6.789486</v>
      </c>
      <c r="E137" s="55">
        <v>8.197488</v>
      </c>
    </row>
    <row r="138" spans="1:5" s="59" customFormat="1" ht="11.25">
      <c r="A138" s="59" t="s">
        <v>74</v>
      </c>
      <c r="B138" s="55">
        <v>19.54</v>
      </c>
      <c r="C138" s="55">
        <v>3.4614</v>
      </c>
      <c r="D138" s="55">
        <v>18.43091</v>
      </c>
      <c r="E138" s="55">
        <v>20.656617999999998</v>
      </c>
    </row>
    <row r="139" spans="1:5" s="59" customFormat="1" ht="11.25">
      <c r="A139" s="59" t="s">
        <v>75</v>
      </c>
      <c r="B139" s="55">
        <v>31.7</v>
      </c>
      <c r="C139" s="55">
        <v>2.4143999999999997</v>
      </c>
      <c r="D139" s="55">
        <v>30.372869</v>
      </c>
      <c r="E139" s="55">
        <v>32.885304999999995</v>
      </c>
    </row>
    <row r="140" spans="1:5" s="59" customFormat="1" ht="11.25">
      <c r="A140" s="59" t="s">
        <v>76</v>
      </c>
      <c r="B140" s="55">
        <v>25.19</v>
      </c>
      <c r="C140" s="55">
        <v>2.7144999999999997</v>
      </c>
      <c r="D140" s="55">
        <v>24.066917</v>
      </c>
      <c r="E140" s="55">
        <v>26.316734000000004</v>
      </c>
    </row>
    <row r="141" spans="1:5" s="59" customFormat="1" ht="11.25">
      <c r="A141" s="59" t="s">
        <v>77</v>
      </c>
      <c r="B141" s="55">
        <v>13.4</v>
      </c>
      <c r="C141" s="55">
        <v>4.0249</v>
      </c>
      <c r="D141" s="55">
        <v>12.557303000000001</v>
      </c>
      <c r="E141" s="55">
        <v>14.338052000000001</v>
      </c>
    </row>
    <row r="142" spans="1:5" s="59" customFormat="1" ht="11.25">
      <c r="A142" s="63" t="s">
        <v>79</v>
      </c>
      <c r="B142" s="65"/>
      <c r="C142" s="65"/>
      <c r="D142" s="65"/>
      <c r="E142" s="65"/>
    </row>
    <row r="143" spans="1:5" s="59" customFormat="1" ht="11.25">
      <c r="A143" s="59" t="s">
        <v>72</v>
      </c>
      <c r="B143" s="55">
        <v>5.31</v>
      </c>
      <c r="C143" s="55">
        <v>3.0268</v>
      </c>
      <c r="D143" s="55">
        <v>5.045637</v>
      </c>
      <c r="E143" s="55">
        <v>5.574383</v>
      </c>
    </row>
    <row r="144" spans="1:5" s="59" customFormat="1" ht="11.25">
      <c r="A144" s="59" t="s">
        <v>73</v>
      </c>
      <c r="B144" s="55">
        <v>18.58</v>
      </c>
      <c r="C144" s="55">
        <v>1.456</v>
      </c>
      <c r="D144" s="55">
        <v>18.13221</v>
      </c>
      <c r="E144" s="55">
        <v>19.022014000000002</v>
      </c>
    </row>
    <row r="145" spans="1:5" s="59" customFormat="1" ht="11.25">
      <c r="A145" s="59" t="s">
        <v>74</v>
      </c>
      <c r="B145" s="55">
        <v>15.28</v>
      </c>
      <c r="C145" s="55">
        <v>1.6458</v>
      </c>
      <c r="D145" s="55">
        <v>14.866418000000001</v>
      </c>
      <c r="E145" s="55">
        <v>15.693705999999999</v>
      </c>
    </row>
    <row r="146" spans="1:5" s="59" customFormat="1" ht="11.25">
      <c r="A146" s="59" t="s">
        <v>75</v>
      </c>
      <c r="B146" s="55">
        <v>26.62</v>
      </c>
      <c r="C146" s="55">
        <v>1.1692</v>
      </c>
      <c r="D146" s="55">
        <v>26.104718</v>
      </c>
      <c r="E146" s="55">
        <v>27.12852</v>
      </c>
    </row>
    <row r="147" spans="1:5" s="59" customFormat="1" ht="11.25">
      <c r="A147" s="59" t="s">
        <v>76</v>
      </c>
      <c r="B147" s="55">
        <v>11.1</v>
      </c>
      <c r="C147" s="55">
        <v>1.9542</v>
      </c>
      <c r="D147" s="55">
        <v>10.740312000000001</v>
      </c>
      <c r="E147" s="55">
        <v>11.453716</v>
      </c>
    </row>
    <row r="148" spans="1:5" s="59" customFormat="1" ht="11.25">
      <c r="A148" s="59" t="s">
        <v>77</v>
      </c>
      <c r="B148" s="55">
        <v>23.12</v>
      </c>
      <c r="C148" s="55">
        <v>1.288</v>
      </c>
      <c r="D148" s="55">
        <v>22.62939</v>
      </c>
      <c r="E148" s="55">
        <v>23.608976000000002</v>
      </c>
    </row>
    <row r="149" spans="1:5" s="59" customFormat="1" ht="11.25">
      <c r="A149" s="63" t="s">
        <v>55</v>
      </c>
      <c r="B149" s="65"/>
      <c r="C149" s="65"/>
      <c r="D149" s="65"/>
      <c r="E149" s="65"/>
    </row>
    <row r="150" spans="1:5" s="59" customFormat="1" ht="11.25">
      <c r="A150" s="59" t="s">
        <v>72</v>
      </c>
      <c r="B150" s="55">
        <v>15.9</v>
      </c>
      <c r="C150" s="55">
        <v>2.9356</v>
      </c>
      <c r="D150" s="55">
        <v>15.129693999999999</v>
      </c>
      <c r="E150" s="55">
        <v>16.665033</v>
      </c>
    </row>
    <row r="151" spans="1:5" s="59" customFormat="1" ht="11.25">
      <c r="A151" s="59" t="s">
        <v>73</v>
      </c>
      <c r="B151" s="55">
        <v>34.55</v>
      </c>
      <c r="C151" s="55">
        <v>1.7274</v>
      </c>
      <c r="D151" s="55">
        <v>33.568237</v>
      </c>
      <c r="E151" s="55">
        <v>35.531743999999996</v>
      </c>
    </row>
    <row r="152" spans="1:5" s="59" customFormat="1" ht="11.25">
      <c r="A152" s="59" t="s">
        <v>74</v>
      </c>
      <c r="B152" s="55">
        <v>10.39</v>
      </c>
      <c r="C152" s="55">
        <v>3.781</v>
      </c>
      <c r="D152" s="55">
        <v>9.748285</v>
      </c>
      <c r="E152" s="55">
        <v>11.041331</v>
      </c>
    </row>
    <row r="153" spans="1:5" s="59" customFormat="1" ht="11.25">
      <c r="A153" s="59" t="s">
        <v>75</v>
      </c>
      <c r="B153" s="55">
        <v>19.28</v>
      </c>
      <c r="C153" s="55">
        <v>2.556</v>
      </c>
      <c r="D153" s="55">
        <v>18.469072</v>
      </c>
      <c r="E153" s="55">
        <v>20.090304</v>
      </c>
    </row>
    <row r="154" spans="1:5" s="59" customFormat="1" ht="11.25">
      <c r="A154" s="59" t="s">
        <v>76</v>
      </c>
      <c r="B154" s="55">
        <v>5.04</v>
      </c>
      <c r="C154" s="55">
        <v>5.618399999999999</v>
      </c>
      <c r="D154" s="55">
        <v>4.5784650000000005</v>
      </c>
      <c r="E154" s="55">
        <v>5.510935</v>
      </c>
    </row>
    <row r="155" spans="1:5" s="59" customFormat="1" ht="11.25">
      <c r="A155" s="68" t="s">
        <v>77</v>
      </c>
      <c r="B155" s="88">
        <v>14.83</v>
      </c>
      <c r="C155" s="88">
        <v>3.0149</v>
      </c>
      <c r="D155" s="88">
        <v>14.097788999999999</v>
      </c>
      <c r="E155" s="88">
        <v>15.569111</v>
      </c>
    </row>
    <row r="156" spans="2:5" s="59" customFormat="1" ht="11.25">
      <c r="B156" s="62"/>
      <c r="C156" s="62"/>
      <c r="D156" s="62"/>
      <c r="E156" s="62"/>
    </row>
    <row r="157" spans="1:5" s="59" customFormat="1" ht="11.25">
      <c r="A157" s="59" t="s">
        <v>114</v>
      </c>
      <c r="B157" s="62"/>
      <c r="C157" s="62"/>
      <c r="D157" s="62"/>
      <c r="E157" s="62"/>
    </row>
    <row r="158" spans="1:5" s="59" customFormat="1" ht="11.25">
      <c r="A158" s="59" t="s">
        <v>115</v>
      </c>
      <c r="B158" s="62"/>
      <c r="C158" s="62"/>
      <c r="D158" s="62"/>
      <c r="E158" s="62"/>
    </row>
    <row r="159" spans="1:5" s="59" customFormat="1" ht="11.25">
      <c r="A159" s="59" t="s">
        <v>116</v>
      </c>
      <c r="B159" s="62"/>
      <c r="C159" s="62"/>
      <c r="D159" s="62"/>
      <c r="E159" s="62"/>
    </row>
    <row r="160" spans="1:5" s="59" customFormat="1" ht="11.25">
      <c r="A160" s="36" t="s">
        <v>91</v>
      </c>
      <c r="B160" s="62"/>
      <c r="C160" s="62"/>
      <c r="D160" s="62"/>
      <c r="E160" s="62"/>
    </row>
    <row r="161" spans="1:5" s="59" customFormat="1" ht="11.25">
      <c r="A161" s="36"/>
      <c r="B161" s="62"/>
      <c r="C161" s="62"/>
      <c r="D161" s="62"/>
      <c r="E161" s="62"/>
    </row>
    <row r="162" spans="1:5" s="59" customFormat="1" ht="11.25">
      <c r="A162" s="59" t="s">
        <v>119</v>
      </c>
      <c r="B162" s="62"/>
      <c r="C162" s="62"/>
      <c r="D162" s="62"/>
      <c r="E162" s="62"/>
    </row>
    <row r="163" spans="2:5" s="59" customFormat="1" ht="11.25">
      <c r="B163" s="62"/>
      <c r="C163" s="62"/>
      <c r="D163" s="62"/>
      <c r="E163" s="62"/>
    </row>
    <row r="164" spans="2:5" s="59" customFormat="1" ht="11.25">
      <c r="B164" s="62"/>
      <c r="C164" s="62"/>
      <c r="D164" s="62"/>
      <c r="E164" s="62"/>
    </row>
    <row r="165" spans="1:7" s="59" customFormat="1" ht="17.25" customHeight="1">
      <c r="A165" s="162" t="s">
        <v>123</v>
      </c>
      <c r="B165" s="162"/>
      <c r="C165" s="162"/>
      <c r="D165" s="162"/>
      <c r="E165" s="162"/>
      <c r="F165" s="162"/>
      <c r="G165" s="162"/>
    </row>
    <row r="166" spans="2:5" s="59" customFormat="1" ht="11.25">
      <c r="B166" s="62"/>
      <c r="C166" s="62"/>
      <c r="D166" s="62"/>
      <c r="E166" s="62"/>
    </row>
    <row r="167" spans="1:5" s="59" customFormat="1" ht="11.25">
      <c r="A167" s="161" t="s">
        <v>121</v>
      </c>
      <c r="B167" s="151" t="s">
        <v>80</v>
      </c>
      <c r="C167" s="151" t="s">
        <v>81</v>
      </c>
      <c r="D167" s="156" t="s">
        <v>84</v>
      </c>
      <c r="E167" s="156"/>
    </row>
    <row r="168" spans="1:5" s="59" customFormat="1" ht="11.25">
      <c r="A168" s="149"/>
      <c r="B168" s="149"/>
      <c r="C168" s="149"/>
      <c r="D168" s="69" t="s">
        <v>82</v>
      </c>
      <c r="E168" s="69" t="s">
        <v>83</v>
      </c>
    </row>
    <row r="169" spans="2:5" s="59" customFormat="1" ht="11.25">
      <c r="B169" s="62"/>
      <c r="C169" s="62"/>
      <c r="D169" s="62"/>
      <c r="E169" s="62"/>
    </row>
    <row r="170" spans="1:5" s="59" customFormat="1" ht="14.25" customHeight="1">
      <c r="A170" s="61" t="s">
        <v>0</v>
      </c>
      <c r="B170" s="70">
        <v>9086422</v>
      </c>
      <c r="C170" s="58"/>
      <c r="D170" s="58"/>
      <c r="E170" s="58"/>
    </row>
    <row r="171" spans="1:5" s="59" customFormat="1" ht="11.25">
      <c r="A171" s="63" t="s">
        <v>1</v>
      </c>
      <c r="B171" s="65"/>
      <c r="C171" s="65"/>
      <c r="D171" s="65"/>
      <c r="E171" s="65"/>
    </row>
    <row r="172" spans="1:5" s="59" customFormat="1" ht="11.25">
      <c r="A172" s="63" t="s">
        <v>2</v>
      </c>
      <c r="B172" s="65"/>
      <c r="C172" s="65"/>
      <c r="D172" s="65"/>
      <c r="E172" s="65"/>
    </row>
    <row r="173" spans="1:5" s="59" customFormat="1" ht="11.25">
      <c r="A173" s="59" t="s">
        <v>3</v>
      </c>
      <c r="B173" s="83">
        <v>6.6</v>
      </c>
      <c r="C173" s="55">
        <v>2.799</v>
      </c>
      <c r="D173" s="55">
        <v>6.342924</v>
      </c>
      <c r="E173" s="55">
        <v>6.955166</v>
      </c>
    </row>
    <row r="174" spans="1:5" s="59" customFormat="1" ht="11.25">
      <c r="A174" s="59" t="s">
        <v>4</v>
      </c>
      <c r="B174" s="83">
        <v>13.02</v>
      </c>
      <c r="C174" s="55">
        <v>2.0677999999999996</v>
      </c>
      <c r="D174" s="55">
        <v>12.575959000000001</v>
      </c>
      <c r="E174" s="55">
        <v>13.461574</v>
      </c>
    </row>
    <row r="175" spans="1:5" s="59" customFormat="1" ht="11.25">
      <c r="A175" s="59" t="s">
        <v>5</v>
      </c>
      <c r="B175" s="83">
        <v>80.43</v>
      </c>
      <c r="C175" s="55">
        <v>0.3844</v>
      </c>
      <c r="D175" s="55">
        <v>79.824277</v>
      </c>
      <c r="E175" s="55">
        <v>80.840099</v>
      </c>
    </row>
    <row r="176" spans="1:5" s="59" customFormat="1" ht="11.25">
      <c r="A176" s="63" t="s">
        <v>126</v>
      </c>
      <c r="B176" s="53"/>
      <c r="C176" s="53"/>
      <c r="D176" s="53"/>
      <c r="E176" s="53"/>
    </row>
    <row r="177" spans="1:5" s="59" customFormat="1" ht="11.25">
      <c r="A177" s="59" t="s">
        <v>6</v>
      </c>
      <c r="B177" s="74">
        <v>97.8</v>
      </c>
      <c r="C177" s="55">
        <v>0.1</v>
      </c>
      <c r="D177" s="55">
        <v>97.526408</v>
      </c>
      <c r="E177" s="55">
        <v>97.898266</v>
      </c>
    </row>
    <row r="178" spans="1:5" s="59" customFormat="1" ht="11.25">
      <c r="A178" s="59" t="s">
        <v>7</v>
      </c>
      <c r="B178" s="74">
        <v>83.76</v>
      </c>
      <c r="C178" s="55">
        <v>0.3478</v>
      </c>
      <c r="D178" s="55">
        <v>83.282901</v>
      </c>
      <c r="E178" s="55">
        <v>84.241208</v>
      </c>
    </row>
    <row r="179" spans="1:5" s="59" customFormat="1" ht="11.25">
      <c r="A179" s="59" t="s">
        <v>8</v>
      </c>
      <c r="B179" s="74">
        <v>13.95</v>
      </c>
      <c r="C179" s="55">
        <v>1.9805</v>
      </c>
      <c r="D179" s="55">
        <v>13.49582</v>
      </c>
      <c r="E179" s="55">
        <v>14.404746</v>
      </c>
    </row>
    <row r="180" spans="1:5" s="59" customFormat="1" ht="11.25">
      <c r="A180" s="59" t="s">
        <v>9</v>
      </c>
      <c r="B180" s="74">
        <v>2.29</v>
      </c>
      <c r="C180" s="55">
        <v>4.941</v>
      </c>
      <c r="D180" s="55">
        <v>2.101734</v>
      </c>
      <c r="E180" s="55">
        <v>2.473592</v>
      </c>
    </row>
    <row r="181" spans="1:5" s="59" customFormat="1" ht="11.25">
      <c r="A181" s="63" t="s">
        <v>127</v>
      </c>
      <c r="B181" s="53"/>
      <c r="C181" s="53"/>
      <c r="D181" s="53"/>
      <c r="E181" s="53"/>
    </row>
    <row r="182" spans="1:5" s="59" customFormat="1" ht="11.25">
      <c r="A182" s="59" t="s">
        <v>10</v>
      </c>
      <c r="B182" s="55">
        <v>86.69</v>
      </c>
      <c r="C182" s="55">
        <v>0.31970000000000004</v>
      </c>
      <c r="D182" s="55">
        <v>86.236046</v>
      </c>
      <c r="E182" s="55">
        <v>87.147762</v>
      </c>
    </row>
    <row r="183" spans="1:5" s="59" customFormat="1" ht="11.25">
      <c r="A183" s="59" t="s">
        <v>11</v>
      </c>
      <c r="B183" s="55">
        <v>13.31</v>
      </c>
      <c r="C183" s="55">
        <v>2.0825</v>
      </c>
      <c r="D183" s="55">
        <v>12.852238</v>
      </c>
      <c r="E183" s="55">
        <v>13.763954</v>
      </c>
    </row>
    <row r="184" spans="1:5" s="59" customFormat="1" ht="11.25">
      <c r="A184" s="63" t="s">
        <v>128</v>
      </c>
      <c r="B184" s="53"/>
      <c r="C184" s="55"/>
      <c r="D184" s="55"/>
      <c r="E184" s="55"/>
    </row>
    <row r="185" spans="1:5" s="59" customFormat="1" ht="11.25">
      <c r="A185" s="59" t="s">
        <v>12</v>
      </c>
      <c r="B185" s="55">
        <v>94.28</v>
      </c>
      <c r="C185" s="55">
        <v>0.2</v>
      </c>
      <c r="D185" s="55">
        <v>93.95429800000001</v>
      </c>
      <c r="E185" s="55">
        <v>94.60711400000001</v>
      </c>
    </row>
    <row r="186" spans="1:5" s="59" customFormat="1" ht="11.25">
      <c r="A186" s="59" t="s">
        <v>13</v>
      </c>
      <c r="B186" s="55">
        <v>5.72</v>
      </c>
      <c r="C186" s="55">
        <v>3.5</v>
      </c>
      <c r="D186" s="55">
        <v>5.392886</v>
      </c>
      <c r="E186" s="55">
        <v>6.045702</v>
      </c>
    </row>
    <row r="187" spans="1:5" s="59" customFormat="1" ht="11.25">
      <c r="A187" s="63" t="s">
        <v>14</v>
      </c>
      <c r="B187" s="53"/>
      <c r="C187" s="53"/>
      <c r="D187" s="53"/>
      <c r="E187" s="53"/>
    </row>
    <row r="188" spans="1:5" s="59" customFormat="1" ht="11.25">
      <c r="A188" s="59" t="s">
        <v>15</v>
      </c>
      <c r="B188" s="55">
        <v>97.5</v>
      </c>
      <c r="C188" s="55">
        <v>0.1</v>
      </c>
      <c r="D188" s="55">
        <v>97.309021</v>
      </c>
      <c r="E188" s="55">
        <v>97.73445</v>
      </c>
    </row>
    <row r="189" spans="1:5" s="59" customFormat="1" ht="11.25">
      <c r="A189" s="59" t="s">
        <v>16</v>
      </c>
      <c r="B189" s="55">
        <v>88.3192</v>
      </c>
      <c r="C189" s="55">
        <v>0.33899999999999997</v>
      </c>
      <c r="D189" s="55">
        <v>87.82669800000001</v>
      </c>
      <c r="E189" s="55">
        <v>88.811706</v>
      </c>
    </row>
    <row r="190" spans="1:5" s="59" customFormat="1" ht="11.25">
      <c r="A190" s="59" t="s">
        <v>17</v>
      </c>
      <c r="B190" s="55">
        <v>9.045</v>
      </c>
      <c r="C190" s="55">
        <v>3.0772999999999997</v>
      </c>
      <c r="D190" s="55">
        <v>8.554643</v>
      </c>
      <c r="E190" s="55">
        <v>9.466854</v>
      </c>
    </row>
    <row r="191" spans="1:5" s="59" customFormat="1" ht="11.25">
      <c r="A191" s="59" t="s">
        <v>18</v>
      </c>
      <c r="B191" s="86" t="s">
        <v>89</v>
      </c>
      <c r="C191" s="55"/>
      <c r="D191" s="55"/>
      <c r="E191" s="55"/>
    </row>
    <row r="192" spans="1:5" s="59" customFormat="1" ht="11.25">
      <c r="A192" s="59" t="s">
        <v>19</v>
      </c>
      <c r="B192" s="55">
        <v>2.5</v>
      </c>
      <c r="C192" s="55">
        <v>5.2</v>
      </c>
      <c r="D192" s="55">
        <v>2.2655499999999997</v>
      </c>
      <c r="E192" s="55">
        <v>2.690979</v>
      </c>
    </row>
    <row r="193" spans="2:5" s="59" customFormat="1" ht="11.25">
      <c r="B193" s="53"/>
      <c r="C193" s="53"/>
      <c r="D193" s="53"/>
      <c r="E193" s="53"/>
    </row>
    <row r="194" spans="1:5" s="59" customFormat="1" ht="11.25">
      <c r="A194" s="63" t="s">
        <v>129</v>
      </c>
      <c r="B194" s="53"/>
      <c r="C194" s="53"/>
      <c r="D194" s="53"/>
      <c r="E194" s="53"/>
    </row>
    <row r="195" spans="1:5" s="59" customFormat="1" ht="11.25">
      <c r="A195" s="63" t="s">
        <v>21</v>
      </c>
      <c r="B195" s="53"/>
      <c r="C195" s="53"/>
      <c r="D195" s="53"/>
      <c r="E195" s="53"/>
    </row>
    <row r="196" spans="1:5" s="59" customFormat="1" ht="11.25">
      <c r="A196" s="59" t="s">
        <v>22</v>
      </c>
      <c r="B196" s="55">
        <v>89.97</v>
      </c>
      <c r="C196" s="55">
        <v>0.3242</v>
      </c>
      <c r="D196" s="76">
        <v>89.48886</v>
      </c>
      <c r="E196" s="76">
        <v>90.448431</v>
      </c>
    </row>
    <row r="197" spans="1:5" s="59" customFormat="1" ht="11.25">
      <c r="A197" s="59" t="s">
        <v>23</v>
      </c>
      <c r="B197" s="55">
        <v>10.03</v>
      </c>
      <c r="C197" s="55">
        <v>2.9076999999999997</v>
      </c>
      <c r="D197" s="76">
        <v>9.551569</v>
      </c>
      <c r="E197" s="76">
        <v>10.51114</v>
      </c>
    </row>
    <row r="198" spans="1:5" s="59" customFormat="1" ht="11.25">
      <c r="A198" s="63" t="s">
        <v>24</v>
      </c>
      <c r="B198" s="53"/>
      <c r="C198" s="53"/>
      <c r="D198" s="53"/>
      <c r="E198" s="53"/>
    </row>
    <row r="199" spans="1:5" s="59" customFormat="1" ht="11.25">
      <c r="A199" s="59" t="s">
        <v>22</v>
      </c>
      <c r="B199" s="55">
        <v>70.63</v>
      </c>
      <c r="C199" s="55">
        <v>0.5142</v>
      </c>
      <c r="D199" s="76">
        <v>70.02834999999999</v>
      </c>
      <c r="E199" s="76">
        <v>71.223049</v>
      </c>
    </row>
    <row r="200" spans="1:5" s="59" customFormat="1" ht="11.25">
      <c r="A200" s="59" t="s">
        <v>23</v>
      </c>
      <c r="B200" s="55">
        <v>29.37</v>
      </c>
      <c r="C200" s="55">
        <v>1.2363000000000002</v>
      </c>
      <c r="D200" s="76">
        <v>28.776951</v>
      </c>
      <c r="E200" s="76">
        <v>29.97165</v>
      </c>
    </row>
    <row r="201" spans="1:5" s="59" customFormat="1" ht="11.25">
      <c r="A201" s="63" t="s">
        <v>25</v>
      </c>
      <c r="B201" s="53"/>
      <c r="C201" s="53"/>
      <c r="D201" s="53"/>
      <c r="E201" s="53"/>
    </row>
    <row r="202" spans="1:5" s="59" customFormat="1" ht="11.25">
      <c r="A202" s="59" t="s">
        <v>22</v>
      </c>
      <c r="B202" s="55">
        <v>70.81</v>
      </c>
      <c r="C202" s="55">
        <v>0.4783</v>
      </c>
      <c r="D202" s="76">
        <v>70.24942</v>
      </c>
      <c r="E202" s="76">
        <v>71.363507</v>
      </c>
    </row>
    <row r="203" spans="1:5" s="59" customFormat="1" ht="11.25">
      <c r="A203" s="59" t="s">
        <v>23</v>
      </c>
      <c r="B203" s="55">
        <v>29.19</v>
      </c>
      <c r="C203" s="55">
        <v>1.16</v>
      </c>
      <c r="D203" s="76">
        <v>28.636493</v>
      </c>
      <c r="E203" s="76">
        <v>29.75058</v>
      </c>
    </row>
    <row r="204" spans="2:5" s="59" customFormat="1" ht="11.25">
      <c r="B204" s="53"/>
      <c r="C204" s="53"/>
      <c r="D204" s="53"/>
      <c r="E204" s="53"/>
    </row>
    <row r="205" spans="1:5" s="59" customFormat="1" ht="11.25">
      <c r="A205" s="59" t="s">
        <v>26</v>
      </c>
      <c r="B205" s="55">
        <v>44.3</v>
      </c>
      <c r="C205" s="55">
        <v>0.8524999999999999</v>
      </c>
      <c r="D205" s="55">
        <v>43.678882</v>
      </c>
      <c r="E205" s="76">
        <v>44.921347</v>
      </c>
    </row>
    <row r="206" spans="2:5" s="59" customFormat="1" ht="11.25">
      <c r="B206" s="53"/>
      <c r="C206" s="53"/>
      <c r="D206" s="53"/>
      <c r="E206" s="53"/>
    </row>
    <row r="207" spans="1:5" s="59" customFormat="1" ht="11.25">
      <c r="A207" s="63" t="s">
        <v>27</v>
      </c>
      <c r="B207" s="53"/>
      <c r="C207" s="53"/>
      <c r="D207" s="53"/>
      <c r="E207" s="53"/>
    </row>
    <row r="208" spans="1:5" s="59" customFormat="1" ht="11.25">
      <c r="A208" s="59" t="s">
        <v>86</v>
      </c>
      <c r="B208" s="83">
        <v>6.62</v>
      </c>
      <c r="C208" s="55">
        <v>3.0478</v>
      </c>
      <c r="D208" s="55">
        <v>6.288101999999999</v>
      </c>
      <c r="E208" s="55">
        <v>6.951873</v>
      </c>
    </row>
    <row r="209" spans="1:5" s="59" customFormat="1" ht="11.25">
      <c r="A209" s="59" t="s">
        <v>87</v>
      </c>
      <c r="B209" s="83">
        <v>11.19</v>
      </c>
      <c r="C209" s="55">
        <v>2.4583</v>
      </c>
      <c r="D209" s="55">
        <v>10.736894</v>
      </c>
      <c r="E209" s="55">
        <v>11.641816</v>
      </c>
    </row>
    <row r="210" spans="2:5" s="59" customFormat="1" ht="11.25">
      <c r="B210" s="53"/>
      <c r="C210" s="53"/>
      <c r="D210" s="53"/>
      <c r="E210" s="53"/>
    </row>
    <row r="211" spans="1:5" s="59" customFormat="1" ht="11.25">
      <c r="A211" s="63" t="s">
        <v>130</v>
      </c>
      <c r="B211" s="53"/>
      <c r="C211" s="53"/>
      <c r="D211" s="53"/>
      <c r="E211" s="53"/>
    </row>
    <row r="212" spans="1:5" s="59" customFormat="1" ht="11.25">
      <c r="A212" s="59" t="s">
        <v>28</v>
      </c>
      <c r="B212" s="55">
        <v>64.81</v>
      </c>
      <c r="C212" s="55">
        <v>0.5817</v>
      </c>
      <c r="D212" s="55">
        <v>64.190364</v>
      </c>
      <c r="E212" s="55">
        <v>65.430727</v>
      </c>
    </row>
    <row r="213" spans="1:5" s="59" customFormat="1" ht="11.25">
      <c r="A213" s="59" t="s">
        <v>29</v>
      </c>
      <c r="B213" s="55">
        <v>5.81</v>
      </c>
      <c r="C213" s="55">
        <v>3.3402000000000003</v>
      </c>
      <c r="D213" s="55">
        <v>5.489224</v>
      </c>
      <c r="E213" s="55">
        <v>6.127483</v>
      </c>
    </row>
    <row r="214" spans="1:5" s="59" customFormat="1" ht="11.25">
      <c r="A214" s="59" t="s">
        <v>30</v>
      </c>
      <c r="B214" s="55">
        <v>18.48</v>
      </c>
      <c r="C214" s="55">
        <v>1.6386</v>
      </c>
      <c r="D214" s="55">
        <v>17.980835</v>
      </c>
      <c r="E214" s="55">
        <v>18.976962999999998</v>
      </c>
    </row>
    <row r="215" spans="1:5" s="59" customFormat="1" ht="11.25">
      <c r="A215" s="59" t="s">
        <v>31</v>
      </c>
      <c r="B215" s="55">
        <v>9.14</v>
      </c>
      <c r="C215" s="55">
        <v>2.4874</v>
      </c>
      <c r="D215" s="55">
        <v>8.76138</v>
      </c>
      <c r="E215" s="55">
        <v>9.508915</v>
      </c>
    </row>
    <row r="216" spans="1:5" s="59" customFormat="1" ht="11.25">
      <c r="A216" s="59" t="s">
        <v>32</v>
      </c>
      <c r="B216" s="55">
        <v>1.77</v>
      </c>
      <c r="C216" s="55">
        <v>5.4488</v>
      </c>
      <c r="D216" s="55">
        <v>1.608679</v>
      </c>
      <c r="E216" s="55">
        <v>1.925429</v>
      </c>
    </row>
    <row r="217" spans="2:5" s="59" customFormat="1" ht="11.25">
      <c r="B217" s="53"/>
      <c r="C217" s="55"/>
      <c r="D217" s="55"/>
      <c r="E217" s="55"/>
    </row>
    <row r="218" spans="1:5" s="59" customFormat="1" ht="11.25">
      <c r="A218" s="63" t="s">
        <v>132</v>
      </c>
      <c r="B218" s="53"/>
      <c r="C218" s="53"/>
      <c r="D218" s="53"/>
      <c r="E218" s="53"/>
    </row>
    <row r="219" spans="1:5" s="59" customFormat="1" ht="11.25">
      <c r="A219" s="59" t="s">
        <v>44</v>
      </c>
      <c r="B219" s="55">
        <v>13.5</v>
      </c>
      <c r="C219" s="55">
        <v>2.65</v>
      </c>
      <c r="D219" s="55">
        <v>13.232</v>
      </c>
      <c r="E219" s="55">
        <v>13.826</v>
      </c>
    </row>
    <row r="220" spans="1:5" s="59" customFormat="1" ht="11.25">
      <c r="A220" s="59" t="s">
        <v>85</v>
      </c>
      <c r="B220" s="55">
        <v>33.9</v>
      </c>
      <c r="C220" s="55">
        <v>1.487</v>
      </c>
      <c r="D220" s="55">
        <v>32.487</v>
      </c>
      <c r="E220" s="55">
        <v>34.778</v>
      </c>
    </row>
    <row r="221" spans="2:5" s="59" customFormat="1" ht="11.25">
      <c r="B221" s="53"/>
      <c r="C221" s="53"/>
      <c r="D221" s="53"/>
      <c r="E221" s="53"/>
    </row>
    <row r="222" spans="1:5" s="59" customFormat="1" ht="11.25">
      <c r="A222" s="63" t="s">
        <v>33</v>
      </c>
      <c r="B222" s="53"/>
      <c r="C222" s="53"/>
      <c r="D222" s="53"/>
      <c r="E222" s="53"/>
    </row>
    <row r="223" spans="1:5" s="59" customFormat="1" ht="11.25">
      <c r="A223" s="59" t="s">
        <v>34</v>
      </c>
      <c r="B223" s="53"/>
      <c r="C223" s="53"/>
      <c r="D223" s="53"/>
      <c r="E223" s="53"/>
    </row>
    <row r="224" spans="1:5" s="59" customFormat="1" ht="11.25">
      <c r="A224" s="59" t="s">
        <v>35</v>
      </c>
      <c r="B224" s="76">
        <v>6.57</v>
      </c>
      <c r="C224" s="76">
        <v>2.99</v>
      </c>
      <c r="D224" s="76">
        <v>6.247</v>
      </c>
      <c r="E224" s="76">
        <v>6.89</v>
      </c>
    </row>
    <row r="225" spans="1:5" s="59" customFormat="1" ht="11.25">
      <c r="A225" s="59" t="s">
        <v>36</v>
      </c>
      <c r="B225" s="76">
        <v>35.7</v>
      </c>
      <c r="C225" s="76">
        <v>1.06</v>
      </c>
      <c r="D225" s="76">
        <v>35.13</v>
      </c>
      <c r="E225" s="76">
        <v>36.37</v>
      </c>
    </row>
    <row r="226" spans="1:5" s="59" customFormat="1" ht="11.25">
      <c r="A226" s="59" t="s">
        <v>37</v>
      </c>
      <c r="B226" s="76">
        <v>32.29</v>
      </c>
      <c r="C226" s="76">
        <v>1.13</v>
      </c>
      <c r="D226" s="76">
        <v>31.68</v>
      </c>
      <c r="E226" s="76">
        <v>32.89</v>
      </c>
    </row>
    <row r="227" spans="1:5" s="59" customFormat="1" ht="11.25">
      <c r="A227" s="59" t="s">
        <v>38</v>
      </c>
      <c r="B227" s="76">
        <v>14.42</v>
      </c>
      <c r="C227" s="76">
        <v>1.87</v>
      </c>
      <c r="D227" s="76">
        <v>13.97</v>
      </c>
      <c r="E227" s="76">
        <v>14.86</v>
      </c>
    </row>
    <row r="228" spans="1:5" s="59" customFormat="1" ht="11.25">
      <c r="A228" s="68" t="s">
        <v>39</v>
      </c>
      <c r="B228" s="77">
        <v>10.96</v>
      </c>
      <c r="C228" s="77">
        <v>2.31</v>
      </c>
      <c r="D228" s="77">
        <v>10.543</v>
      </c>
      <c r="E228" s="77">
        <v>11.378</v>
      </c>
    </row>
    <row r="229" spans="2:5" s="59" customFormat="1" ht="11.25">
      <c r="B229" s="62"/>
      <c r="C229" s="62"/>
      <c r="D229" s="62"/>
      <c r="E229" s="62"/>
    </row>
    <row r="230" spans="1:5" s="59" customFormat="1" ht="11.25">
      <c r="A230" s="154" t="s">
        <v>114</v>
      </c>
      <c r="B230" s="155"/>
      <c r="C230" s="155"/>
      <c r="D230" s="155"/>
      <c r="E230" s="155"/>
    </row>
    <row r="231" spans="1:5" s="59" customFormat="1" ht="11.25">
      <c r="A231" s="59" t="s">
        <v>115</v>
      </c>
      <c r="B231" s="62"/>
      <c r="C231" s="62"/>
      <c r="D231" s="62"/>
      <c r="E231" s="62"/>
    </row>
    <row r="232" spans="1:5" s="59" customFormat="1" ht="11.25">
      <c r="A232" s="154" t="s">
        <v>117</v>
      </c>
      <c r="B232" s="155"/>
      <c r="C232" s="155"/>
      <c r="D232" s="155"/>
      <c r="E232" s="155"/>
    </row>
    <row r="233" spans="1:5" s="59" customFormat="1" ht="11.25">
      <c r="A233" s="154" t="s">
        <v>118</v>
      </c>
      <c r="B233" s="155"/>
      <c r="C233" s="155"/>
      <c r="D233" s="155"/>
      <c r="E233" s="155"/>
    </row>
    <row r="234" spans="1:5" s="59" customFormat="1" ht="11.25">
      <c r="A234" s="36" t="s">
        <v>91</v>
      </c>
      <c r="B234" s="62"/>
      <c r="C234" s="62"/>
      <c r="D234" s="62"/>
      <c r="E234" s="62"/>
    </row>
    <row r="235" spans="2:5" s="59" customFormat="1" ht="11.25">
      <c r="B235" s="62"/>
      <c r="C235" s="62"/>
      <c r="D235" s="62"/>
      <c r="E235" s="62"/>
    </row>
    <row r="236" spans="1:5" s="59" customFormat="1" ht="11.25">
      <c r="A236" s="59" t="s">
        <v>122</v>
      </c>
      <c r="B236" s="62"/>
      <c r="C236" s="62"/>
      <c r="D236" s="62"/>
      <c r="E236" s="62"/>
    </row>
  </sheetData>
  <sheetProtection/>
  <mergeCells count="13">
    <mergeCell ref="A3:A4"/>
    <mergeCell ref="B3:B4"/>
    <mergeCell ref="C3:C4"/>
    <mergeCell ref="A167:A168"/>
    <mergeCell ref="B167:B168"/>
    <mergeCell ref="C167:C168"/>
    <mergeCell ref="A1:E1"/>
    <mergeCell ref="A233:E233"/>
    <mergeCell ref="A165:G165"/>
    <mergeCell ref="D3:E3"/>
    <mergeCell ref="D167:E167"/>
    <mergeCell ref="A230:E230"/>
    <mergeCell ref="A232:E2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ignoredErrors>
    <ignoredError sqref="B1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23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75.421875" style="0" customWidth="1"/>
  </cols>
  <sheetData>
    <row r="1" spans="1:7" s="145" customFormat="1" ht="12.75">
      <c r="A1" s="144" t="s">
        <v>137</v>
      </c>
      <c r="B1" s="62"/>
      <c r="C1" s="62"/>
      <c r="D1" s="62"/>
      <c r="E1" s="62"/>
      <c r="F1" s="59"/>
      <c r="G1" s="59"/>
    </row>
    <row r="2" spans="1:7" ht="12.75">
      <c r="A2" s="59"/>
      <c r="B2" s="62"/>
      <c r="C2" s="62"/>
      <c r="D2" s="62"/>
      <c r="E2" s="62"/>
      <c r="F2" s="59"/>
      <c r="G2" s="59"/>
    </row>
    <row r="3" spans="1:7" s="145" customFormat="1" ht="12.75">
      <c r="A3" s="159" t="s">
        <v>133</v>
      </c>
      <c r="B3" s="159" t="s">
        <v>80</v>
      </c>
      <c r="C3" s="159" t="s">
        <v>81</v>
      </c>
      <c r="D3" s="156" t="s">
        <v>84</v>
      </c>
      <c r="E3" s="156"/>
      <c r="F3" s="59"/>
      <c r="G3" s="59"/>
    </row>
    <row r="4" spans="1:7" s="145" customFormat="1" ht="12.75">
      <c r="A4" s="160"/>
      <c r="B4" s="160"/>
      <c r="C4" s="160"/>
      <c r="D4" s="69" t="s">
        <v>82</v>
      </c>
      <c r="E4" s="69" t="s">
        <v>83</v>
      </c>
      <c r="F4" s="59"/>
      <c r="G4" s="59"/>
    </row>
    <row r="5" spans="1:7" s="145" customFormat="1" ht="12.75">
      <c r="A5" s="59"/>
      <c r="B5" s="146"/>
      <c r="C5" s="146"/>
      <c r="D5" s="62"/>
      <c r="E5" s="62"/>
      <c r="F5" s="59"/>
      <c r="G5" s="59"/>
    </row>
    <row r="6" spans="1:7" ht="12.75">
      <c r="A6" s="61" t="s">
        <v>40</v>
      </c>
      <c r="B6" s="70">
        <v>27877763</v>
      </c>
      <c r="C6" s="62"/>
      <c r="D6" s="62"/>
      <c r="E6" s="62"/>
      <c r="F6" s="59"/>
      <c r="G6" s="59"/>
    </row>
    <row r="7" spans="1:7" ht="12.75">
      <c r="A7" s="63" t="s">
        <v>1</v>
      </c>
      <c r="B7" s="131"/>
      <c r="C7" s="131"/>
      <c r="D7" s="131"/>
      <c r="E7" s="131"/>
      <c r="F7" s="59"/>
      <c r="G7" s="59"/>
    </row>
    <row r="8" spans="1:7" ht="12.75">
      <c r="A8" s="63" t="s">
        <v>2</v>
      </c>
      <c r="B8" s="131"/>
      <c r="C8" s="131"/>
      <c r="D8" s="131"/>
      <c r="E8" s="131"/>
      <c r="F8" s="59"/>
      <c r="G8" s="59"/>
    </row>
    <row r="9" spans="1:7" ht="12.75">
      <c r="A9" s="59" t="s">
        <v>3</v>
      </c>
      <c r="B9" s="132">
        <v>8.7925</v>
      </c>
      <c r="C9" s="132">
        <v>1.4582</v>
      </c>
      <c r="D9" s="132">
        <v>8.581636</v>
      </c>
      <c r="E9" s="132">
        <v>9.003416</v>
      </c>
      <c r="F9" s="59"/>
      <c r="G9" s="59"/>
    </row>
    <row r="10" spans="1:7" ht="12.75">
      <c r="A10" s="59" t="s">
        <v>4</v>
      </c>
      <c r="B10" s="132">
        <v>14.917</v>
      </c>
      <c r="C10" s="132">
        <v>1.1379000000000001</v>
      </c>
      <c r="D10" s="132">
        <v>14.637808999999999</v>
      </c>
      <c r="E10" s="132">
        <v>15.196204999999999</v>
      </c>
      <c r="F10" s="59"/>
      <c r="G10" s="59"/>
    </row>
    <row r="11" spans="1:7" ht="12.75">
      <c r="A11" s="59" t="s">
        <v>5</v>
      </c>
      <c r="B11" s="132">
        <v>76.29050000000001</v>
      </c>
      <c r="C11" s="132">
        <v>0.2567</v>
      </c>
      <c r="D11" s="132">
        <v>75.968318</v>
      </c>
      <c r="E11" s="132">
        <v>76.612617</v>
      </c>
      <c r="F11" s="59"/>
      <c r="G11" s="59"/>
    </row>
    <row r="12" spans="1:7" ht="12.75">
      <c r="A12" s="63" t="s">
        <v>126</v>
      </c>
      <c r="B12" s="133"/>
      <c r="C12" s="134"/>
      <c r="D12" s="134"/>
      <c r="E12" s="134"/>
      <c r="F12" s="59"/>
      <c r="G12" s="59"/>
    </row>
    <row r="13" spans="1:7" ht="12.75">
      <c r="A13" s="59" t="s">
        <v>6</v>
      </c>
      <c r="B13" s="74">
        <v>95.3167</v>
      </c>
      <c r="C13" s="74">
        <v>0.1005</v>
      </c>
      <c r="D13" s="74">
        <v>95.159203</v>
      </c>
      <c r="E13" s="74">
        <v>95.47422800000001</v>
      </c>
      <c r="F13" s="59"/>
      <c r="G13" s="59"/>
    </row>
    <row r="14" spans="1:7" ht="12.75">
      <c r="A14" s="59" t="s">
        <v>7</v>
      </c>
      <c r="B14" s="74">
        <v>75.0867</v>
      </c>
      <c r="C14" s="74">
        <v>0.2592</v>
      </c>
      <c r="D14" s="74">
        <v>74.76647</v>
      </c>
      <c r="E14" s="74">
        <v>75.406849</v>
      </c>
      <c r="F14" s="59"/>
      <c r="G14" s="59"/>
    </row>
    <row r="15" spans="1:7" ht="12.75">
      <c r="A15" s="59" t="s">
        <v>8</v>
      </c>
      <c r="B15" s="74">
        <v>20.135</v>
      </c>
      <c r="C15" s="74">
        <v>0.9005000000000001</v>
      </c>
      <c r="D15" s="74">
        <v>19.836788</v>
      </c>
      <c r="E15" s="74">
        <v>20.433259</v>
      </c>
      <c r="F15" s="59"/>
      <c r="G15" s="59"/>
    </row>
    <row r="16" spans="1:7" ht="12.75">
      <c r="A16" s="59" t="s">
        <v>9</v>
      </c>
      <c r="B16" s="74">
        <v>4.6833</v>
      </c>
      <c r="C16" s="74">
        <v>2.0447</v>
      </c>
      <c r="D16" s="74">
        <v>4.525772</v>
      </c>
      <c r="E16" s="74">
        <v>4.840797</v>
      </c>
      <c r="F16" s="59"/>
      <c r="G16" s="59"/>
    </row>
    <row r="17" spans="1:7" ht="12.75">
      <c r="A17" s="63" t="s">
        <v>127</v>
      </c>
      <c r="B17" s="135"/>
      <c r="C17" s="135"/>
      <c r="D17" s="135"/>
      <c r="E17" s="135"/>
      <c r="F17" s="59"/>
      <c r="G17" s="59"/>
    </row>
    <row r="18" spans="1:7" ht="12.75">
      <c r="A18" s="59" t="s">
        <v>10</v>
      </c>
      <c r="B18" s="74">
        <v>83.1481</v>
      </c>
      <c r="C18" s="74">
        <v>0.22</v>
      </c>
      <c r="D18" s="74">
        <v>82.847171</v>
      </c>
      <c r="E18" s="74">
        <v>83.448956</v>
      </c>
      <c r="F18" s="59"/>
      <c r="G18" s="59"/>
    </row>
    <row r="19" spans="1:7" ht="12.75">
      <c r="A19" s="59" t="s">
        <v>11</v>
      </c>
      <c r="B19" s="74">
        <v>16.7722</v>
      </c>
      <c r="C19" s="74">
        <v>1.0888</v>
      </c>
      <c r="D19" s="74">
        <v>16.47178</v>
      </c>
      <c r="E19" s="74">
        <v>17.072533</v>
      </c>
      <c r="F19" s="59"/>
      <c r="G19" s="59"/>
    </row>
    <row r="20" spans="1:7" ht="12.75">
      <c r="A20" s="63" t="s">
        <v>128</v>
      </c>
      <c r="B20" s="131"/>
      <c r="C20" s="135"/>
      <c r="D20" s="135"/>
      <c r="E20" s="135"/>
      <c r="F20" s="59"/>
      <c r="G20" s="59"/>
    </row>
    <row r="21" spans="1:7" ht="12.75">
      <c r="A21" s="59" t="s">
        <v>12</v>
      </c>
      <c r="B21" s="55">
        <v>92.2359</v>
      </c>
      <c r="C21" s="55">
        <v>0.1416</v>
      </c>
      <c r="D21" s="55">
        <v>92.021016</v>
      </c>
      <c r="E21" s="55">
        <v>92.45072</v>
      </c>
      <c r="F21" s="59"/>
      <c r="G21" s="59"/>
    </row>
    <row r="22" spans="1:7" ht="12.75">
      <c r="A22" s="59" t="s">
        <v>13</v>
      </c>
      <c r="B22" s="55">
        <v>7.7641</v>
      </c>
      <c r="C22" s="55">
        <v>1.6823000000000001</v>
      </c>
      <c r="D22" s="55">
        <v>7.5492799999999995</v>
      </c>
      <c r="E22" s="55">
        <v>7.9789840000000005</v>
      </c>
      <c r="F22" s="59"/>
      <c r="G22" s="59"/>
    </row>
    <row r="23" spans="1:7" ht="12.75">
      <c r="A23" s="63" t="s">
        <v>14</v>
      </c>
      <c r="B23" s="131"/>
      <c r="C23" s="135"/>
      <c r="D23" s="135"/>
      <c r="E23" s="135"/>
      <c r="F23" s="59"/>
      <c r="G23" s="59"/>
    </row>
    <row r="24" spans="1:7" ht="12.75">
      <c r="A24" s="59" t="s">
        <v>15</v>
      </c>
      <c r="B24" s="136">
        <v>96.55789999999999</v>
      </c>
      <c r="C24" s="55">
        <v>0.0915</v>
      </c>
      <c r="D24" s="55">
        <v>96.412609</v>
      </c>
      <c r="E24" s="55">
        <v>96.7032</v>
      </c>
      <c r="F24" s="72"/>
      <c r="G24" s="59"/>
    </row>
    <row r="25" spans="1:7" ht="12.75">
      <c r="A25" s="59" t="s">
        <v>16</v>
      </c>
      <c r="B25" s="83">
        <v>85.7259</v>
      </c>
      <c r="C25" s="55">
        <v>0.2215</v>
      </c>
      <c r="D25" s="55">
        <v>85.41359299999999</v>
      </c>
      <c r="E25" s="55">
        <v>86.038283</v>
      </c>
      <c r="F25" s="59"/>
      <c r="G25" s="59"/>
    </row>
    <row r="26" spans="1:7" ht="12.75">
      <c r="A26" s="59" t="s">
        <v>17</v>
      </c>
      <c r="B26" s="83">
        <v>10.68</v>
      </c>
      <c r="C26" s="55">
        <v>1.6463999999999999</v>
      </c>
      <c r="D26" s="55">
        <v>10.390768999999999</v>
      </c>
      <c r="E26" s="55">
        <v>10.969225</v>
      </c>
      <c r="F26" s="59"/>
      <c r="G26" s="59"/>
    </row>
    <row r="27" spans="1:7" ht="12.75">
      <c r="A27" s="59" t="s">
        <v>18</v>
      </c>
      <c r="B27" s="142" t="s">
        <v>89</v>
      </c>
      <c r="C27" s="55"/>
      <c r="D27" s="55"/>
      <c r="E27" s="55"/>
      <c r="F27" s="59"/>
      <c r="G27" s="59"/>
    </row>
    <row r="28" spans="1:7" ht="12.75">
      <c r="A28" s="59" t="s">
        <v>19</v>
      </c>
      <c r="B28" s="136">
        <v>3.4421</v>
      </c>
      <c r="C28" s="55">
        <v>3.2967999999999997</v>
      </c>
      <c r="D28" s="55">
        <v>3.587391</v>
      </c>
      <c r="E28" s="55">
        <v>2.5663</v>
      </c>
      <c r="F28" s="59"/>
      <c r="G28" s="59"/>
    </row>
    <row r="29" spans="1:7" ht="12.75">
      <c r="A29" s="59"/>
      <c r="B29" s="71"/>
      <c r="C29" s="55"/>
      <c r="D29" s="55"/>
      <c r="E29" s="55"/>
      <c r="F29" s="59"/>
      <c r="G29" s="59"/>
    </row>
    <row r="30" spans="1:7" ht="12.75">
      <c r="A30" s="63" t="s">
        <v>129</v>
      </c>
      <c r="B30" s="131"/>
      <c r="C30" s="135"/>
      <c r="D30" s="135"/>
      <c r="E30" s="135"/>
      <c r="F30" s="59"/>
      <c r="G30" s="59"/>
    </row>
    <row r="31" spans="1:7" ht="12.75">
      <c r="A31" s="63" t="s">
        <v>21</v>
      </c>
      <c r="B31" s="131"/>
      <c r="C31" s="135"/>
      <c r="D31" s="135"/>
      <c r="E31" s="135"/>
      <c r="F31" s="59"/>
      <c r="G31" s="59"/>
    </row>
    <row r="32" spans="1:7" ht="12.75">
      <c r="A32" s="59" t="s">
        <v>22</v>
      </c>
      <c r="B32" s="55">
        <v>88.1554</v>
      </c>
      <c r="C32" s="55">
        <v>0.2077</v>
      </c>
      <c r="D32" s="73">
        <v>87.854332</v>
      </c>
      <c r="E32" s="73">
        <v>88.456536</v>
      </c>
      <c r="F32" s="59"/>
      <c r="G32" s="59"/>
    </row>
    <row r="33" spans="1:7" ht="12.75">
      <c r="A33" s="59" t="s">
        <v>23</v>
      </c>
      <c r="B33" s="55">
        <v>11.8446</v>
      </c>
      <c r="C33" s="55">
        <v>1.5455</v>
      </c>
      <c r="D33" s="73">
        <v>11.543464</v>
      </c>
      <c r="E33" s="73">
        <v>12.145668</v>
      </c>
      <c r="F33" s="59"/>
      <c r="G33" s="59"/>
    </row>
    <row r="34" spans="1:7" ht="12.75">
      <c r="A34" s="63" t="s">
        <v>24</v>
      </c>
      <c r="B34" s="131"/>
      <c r="C34" s="137"/>
      <c r="D34" s="135"/>
      <c r="E34" s="135"/>
      <c r="F34" s="59"/>
      <c r="G34" s="59"/>
    </row>
    <row r="35" spans="1:7" ht="12.75">
      <c r="A35" s="59" t="s">
        <v>22</v>
      </c>
      <c r="B35" s="55">
        <v>65.5351</v>
      </c>
      <c r="C35" s="55">
        <v>0.3353</v>
      </c>
      <c r="D35" s="73">
        <v>65.173568</v>
      </c>
      <c r="E35" s="73">
        <v>65.896547</v>
      </c>
      <c r="F35" s="59"/>
      <c r="G35" s="59"/>
    </row>
    <row r="36" spans="1:7" ht="12.75">
      <c r="A36" s="59" t="s">
        <v>23</v>
      </c>
      <c r="B36" s="55">
        <v>34.4649</v>
      </c>
      <c r="C36" s="55">
        <v>0.6376999999999999</v>
      </c>
      <c r="D36" s="73">
        <v>34.103453</v>
      </c>
      <c r="E36" s="73">
        <v>34.826432000000004</v>
      </c>
      <c r="F36" s="59"/>
      <c r="G36" s="59"/>
    </row>
    <row r="37" spans="1:7" ht="12.75">
      <c r="A37" s="63" t="s">
        <v>25</v>
      </c>
      <c r="B37" s="131"/>
      <c r="C37" s="137"/>
      <c r="D37" s="135"/>
      <c r="E37" s="135"/>
      <c r="F37" s="59"/>
      <c r="G37" s="59"/>
    </row>
    <row r="38" spans="1:7" ht="12.75">
      <c r="A38" s="59" t="s">
        <v>22</v>
      </c>
      <c r="B38" s="55">
        <v>65.2922</v>
      </c>
      <c r="C38" s="55">
        <v>0.3202</v>
      </c>
      <c r="D38" s="73">
        <v>64.948306</v>
      </c>
      <c r="E38" s="73">
        <v>65.636158</v>
      </c>
      <c r="F38" s="59"/>
      <c r="G38" s="59"/>
    </row>
    <row r="39" spans="1:7" ht="12.75">
      <c r="A39" s="59" t="s">
        <v>23</v>
      </c>
      <c r="B39" s="55">
        <v>34.7078</v>
      </c>
      <c r="C39" s="55">
        <v>0.6023999999999999</v>
      </c>
      <c r="D39" s="73">
        <v>34.363842</v>
      </c>
      <c r="E39" s="73">
        <v>35.051694</v>
      </c>
      <c r="F39" s="59"/>
      <c r="G39" s="59"/>
    </row>
    <row r="40" spans="1:7" ht="12.75">
      <c r="A40" s="59"/>
      <c r="B40" s="62"/>
      <c r="C40" s="55"/>
      <c r="D40" s="53"/>
      <c r="E40" s="53"/>
      <c r="F40" s="59"/>
      <c r="G40" s="59"/>
    </row>
    <row r="41" spans="1:7" ht="12.75">
      <c r="A41" s="59" t="s">
        <v>26</v>
      </c>
      <c r="B41" s="55">
        <v>50.2996</v>
      </c>
      <c r="C41" s="55">
        <v>0.4346</v>
      </c>
      <c r="D41" s="73">
        <v>49.940004</v>
      </c>
      <c r="E41" s="73">
        <v>50.65910099999999</v>
      </c>
      <c r="F41" s="59"/>
      <c r="G41" s="59"/>
    </row>
    <row r="42" spans="1:7" ht="12.75">
      <c r="A42" s="59"/>
      <c r="B42" s="62"/>
      <c r="C42" s="53"/>
      <c r="D42" s="53"/>
      <c r="E42" s="53"/>
      <c r="F42" s="59"/>
      <c r="G42" s="59"/>
    </row>
    <row r="43" spans="1:7" ht="12.75">
      <c r="A43" s="63" t="s">
        <v>27</v>
      </c>
      <c r="B43" s="131"/>
      <c r="C43" s="135"/>
      <c r="D43" s="135"/>
      <c r="E43" s="135"/>
      <c r="F43" s="59"/>
      <c r="G43" s="59"/>
    </row>
    <row r="44" spans="1:7" ht="12.75">
      <c r="A44" s="59" t="s">
        <v>86</v>
      </c>
      <c r="B44" s="83">
        <v>7.8271999999999995</v>
      </c>
      <c r="C44" s="74">
        <v>1.6009</v>
      </c>
      <c r="D44" s="74">
        <v>7.621047</v>
      </c>
      <c r="E44" s="74">
        <v>8.033272</v>
      </c>
      <c r="F44" s="59"/>
      <c r="G44" s="59"/>
    </row>
    <row r="45" spans="1:7" ht="12.75">
      <c r="A45" s="59" t="s">
        <v>87</v>
      </c>
      <c r="B45" s="83">
        <v>13.3768</v>
      </c>
      <c r="C45" s="74">
        <v>1.3552</v>
      </c>
      <c r="D45" s="74">
        <v>13.078634000000001</v>
      </c>
      <c r="E45" s="74">
        <v>13.674990000000001</v>
      </c>
      <c r="F45" s="59"/>
      <c r="G45" s="59"/>
    </row>
    <row r="46" spans="1:7" ht="12.75">
      <c r="A46" s="59"/>
      <c r="B46" s="62"/>
      <c r="C46" s="53"/>
      <c r="D46" s="53"/>
      <c r="E46" s="53"/>
      <c r="F46" s="59"/>
      <c r="G46" s="59"/>
    </row>
    <row r="47" spans="1:7" ht="12.75">
      <c r="A47" s="63" t="s">
        <v>130</v>
      </c>
      <c r="B47" s="131"/>
      <c r="C47" s="135"/>
      <c r="D47" s="135"/>
      <c r="E47" s="135"/>
      <c r="F47" s="59"/>
      <c r="G47" s="59"/>
    </row>
    <row r="48" spans="1:7" ht="12.75">
      <c r="A48" s="59" t="s">
        <v>28</v>
      </c>
      <c r="B48" s="55">
        <v>66.1007</v>
      </c>
      <c r="C48" s="55">
        <v>0.3253</v>
      </c>
      <c r="D48" s="55">
        <v>65.747029</v>
      </c>
      <c r="E48" s="55">
        <v>66.454431</v>
      </c>
      <c r="F48" s="59"/>
      <c r="G48" s="59"/>
    </row>
    <row r="49" spans="1:7" ht="12.75">
      <c r="A49" s="59" t="s">
        <v>29</v>
      </c>
      <c r="B49" s="55">
        <v>6.2451</v>
      </c>
      <c r="C49" s="55">
        <v>1.8238999999999999</v>
      </c>
      <c r="D49" s="55">
        <v>6.0577440000000005</v>
      </c>
      <c r="E49" s="55">
        <v>6.432449</v>
      </c>
      <c r="F49" s="73"/>
      <c r="G49" s="59"/>
    </row>
    <row r="50" spans="1:7" ht="12.75">
      <c r="A50" s="59" t="s">
        <v>30</v>
      </c>
      <c r="B50" s="55">
        <v>15.820500000000001</v>
      </c>
      <c r="C50" s="55">
        <v>1.0139</v>
      </c>
      <c r="D50" s="55">
        <v>15.556649</v>
      </c>
      <c r="E50" s="55">
        <v>16.08434</v>
      </c>
      <c r="F50" s="59"/>
      <c r="G50" s="59"/>
    </row>
    <row r="51" spans="1:7" ht="12.75">
      <c r="A51" s="59" t="s">
        <v>31</v>
      </c>
      <c r="B51" s="55">
        <v>10.0768</v>
      </c>
      <c r="C51" s="55">
        <v>1.4039</v>
      </c>
      <c r="D51" s="55">
        <v>9.844134</v>
      </c>
      <c r="E51" s="55">
        <v>10.309515</v>
      </c>
      <c r="F51" s="59"/>
      <c r="G51" s="59"/>
    </row>
    <row r="52" spans="1:7" ht="12.75">
      <c r="A52" s="59" t="s">
        <v>32</v>
      </c>
      <c r="B52" s="55">
        <v>1.6771</v>
      </c>
      <c r="C52" s="55">
        <v>3.2634000000000003</v>
      </c>
      <c r="D52" s="55">
        <v>1.587051</v>
      </c>
      <c r="E52" s="55">
        <v>1.7670970000000001</v>
      </c>
      <c r="F52" s="59"/>
      <c r="G52" s="59"/>
    </row>
    <row r="53" spans="1:7" ht="12.75">
      <c r="A53" s="63" t="s">
        <v>41</v>
      </c>
      <c r="B53" s="131"/>
      <c r="C53" s="138"/>
      <c r="D53" s="138"/>
      <c r="E53" s="138"/>
      <c r="F53" s="59"/>
      <c r="G53" s="59"/>
    </row>
    <row r="54" spans="1:7" ht="12.75">
      <c r="A54" s="63" t="s">
        <v>42</v>
      </c>
      <c r="B54" s="131"/>
      <c r="C54" s="138"/>
      <c r="D54" s="138"/>
      <c r="E54" s="138"/>
      <c r="F54" s="59"/>
      <c r="G54" s="59"/>
    </row>
    <row r="55" spans="1:7" ht="12.75">
      <c r="A55" s="59" t="s">
        <v>43</v>
      </c>
      <c r="B55" s="80">
        <v>68.7</v>
      </c>
      <c r="C55" s="55">
        <v>0.316</v>
      </c>
      <c r="D55" s="55">
        <v>68.4</v>
      </c>
      <c r="E55" s="55">
        <v>69.1</v>
      </c>
      <c r="F55" s="59"/>
      <c r="G55" s="59"/>
    </row>
    <row r="56" spans="1:7" ht="12.75">
      <c r="A56" s="59" t="s">
        <v>44</v>
      </c>
      <c r="B56" s="80">
        <v>31.2</v>
      </c>
      <c r="C56" s="55">
        <v>0.697</v>
      </c>
      <c r="D56" s="55">
        <v>30.8</v>
      </c>
      <c r="E56" s="55">
        <v>31.5</v>
      </c>
      <c r="F56" s="59"/>
      <c r="G56" s="59"/>
    </row>
    <row r="57" spans="1:7" ht="12.75">
      <c r="A57" s="59" t="s">
        <v>45</v>
      </c>
      <c r="B57" s="80">
        <v>0.1</v>
      </c>
      <c r="C57" s="55">
        <v>19.3</v>
      </c>
      <c r="D57" s="55">
        <v>0</v>
      </c>
      <c r="E57" s="55">
        <v>0.13</v>
      </c>
      <c r="F57" s="59"/>
      <c r="G57" s="59"/>
    </row>
    <row r="58" spans="1:7" ht="12.75">
      <c r="A58" s="63" t="s">
        <v>46</v>
      </c>
      <c r="B58" s="131"/>
      <c r="C58" s="138"/>
      <c r="D58" s="138"/>
      <c r="E58" s="138"/>
      <c r="F58" s="59"/>
      <c r="G58" s="59"/>
    </row>
    <row r="59" spans="1:7" ht="12.75">
      <c r="A59" s="63" t="s">
        <v>47</v>
      </c>
      <c r="B59" s="131"/>
      <c r="C59" s="138"/>
      <c r="D59" s="138"/>
      <c r="E59" s="138"/>
      <c r="F59" s="59"/>
      <c r="G59" s="59"/>
    </row>
    <row r="60" spans="1:7" ht="12.75">
      <c r="A60" s="59" t="s">
        <v>48</v>
      </c>
      <c r="B60" s="83">
        <v>70.1</v>
      </c>
      <c r="C60" s="55">
        <v>0.39430000000000004</v>
      </c>
      <c r="D60" s="55">
        <v>69.6</v>
      </c>
      <c r="E60" s="55">
        <v>70.6</v>
      </c>
      <c r="F60" s="59"/>
      <c r="G60" s="59"/>
    </row>
    <row r="61" spans="1:7" ht="12.75">
      <c r="A61" s="59" t="s">
        <v>49</v>
      </c>
      <c r="B61" s="83">
        <v>29.8</v>
      </c>
      <c r="C61" s="55">
        <v>0.96</v>
      </c>
      <c r="D61" s="55">
        <v>29.3</v>
      </c>
      <c r="E61" s="55">
        <v>30.3</v>
      </c>
      <c r="F61" s="59"/>
      <c r="G61" s="59"/>
    </row>
    <row r="62" spans="1:7" ht="12.75">
      <c r="A62" s="59" t="s">
        <v>50</v>
      </c>
      <c r="B62" s="83">
        <v>0.001</v>
      </c>
      <c r="C62" s="55">
        <v>30.3</v>
      </c>
      <c r="D62" s="55">
        <v>0</v>
      </c>
      <c r="E62" s="55">
        <v>0.1</v>
      </c>
      <c r="F62" s="59"/>
      <c r="G62" s="59"/>
    </row>
    <row r="63" spans="1:7" ht="12.75">
      <c r="A63" s="63" t="s">
        <v>51</v>
      </c>
      <c r="B63" s="131"/>
      <c r="C63" s="135"/>
      <c r="D63" s="135"/>
      <c r="E63" s="135"/>
      <c r="F63" s="59"/>
      <c r="G63" s="59"/>
    </row>
    <row r="64" spans="1:7" ht="12.75">
      <c r="A64" s="59" t="s">
        <v>48</v>
      </c>
      <c r="B64" s="83">
        <v>67.2</v>
      </c>
      <c r="C64" s="55">
        <v>0.4413</v>
      </c>
      <c r="D64" s="55">
        <v>66.7</v>
      </c>
      <c r="E64" s="55">
        <v>67.8</v>
      </c>
      <c r="F64" s="59"/>
      <c r="G64" s="59"/>
    </row>
    <row r="65" spans="1:7" ht="12.75">
      <c r="A65" s="59" t="s">
        <v>49</v>
      </c>
      <c r="B65" s="83">
        <v>32.7</v>
      </c>
      <c r="C65" s="55">
        <v>0.9408</v>
      </c>
      <c r="D65" s="55">
        <v>32.1</v>
      </c>
      <c r="E65" s="55">
        <v>33.2</v>
      </c>
      <c r="F65" s="59"/>
      <c r="G65" s="59"/>
    </row>
    <row r="66" spans="1:7" ht="12.75">
      <c r="A66" s="59" t="s">
        <v>50</v>
      </c>
      <c r="B66" s="83">
        <v>0.001</v>
      </c>
      <c r="C66" s="55">
        <v>23.03</v>
      </c>
      <c r="D66" s="55">
        <v>0.001</v>
      </c>
      <c r="E66" s="55">
        <v>0.14</v>
      </c>
      <c r="F66" s="59"/>
      <c r="G66" s="59"/>
    </row>
    <row r="67" spans="1:7" ht="12.75">
      <c r="A67" s="63" t="s">
        <v>52</v>
      </c>
      <c r="B67" s="131"/>
      <c r="C67" s="138"/>
      <c r="D67" s="138"/>
      <c r="E67" s="138"/>
      <c r="F67" s="59"/>
      <c r="G67" s="59"/>
    </row>
    <row r="68" spans="1:7" ht="12.75">
      <c r="A68" s="63" t="s">
        <v>53</v>
      </c>
      <c r="B68" s="131"/>
      <c r="C68" s="138"/>
      <c r="D68" s="138"/>
      <c r="E68" s="138"/>
      <c r="F68" s="59"/>
      <c r="G68" s="59"/>
    </row>
    <row r="69" spans="1:7" ht="12.75">
      <c r="A69" s="59" t="s">
        <v>48</v>
      </c>
      <c r="B69" s="83">
        <v>59.6</v>
      </c>
      <c r="C69" s="55">
        <v>0.72</v>
      </c>
      <c r="D69" s="55">
        <v>58.9</v>
      </c>
      <c r="E69" s="55">
        <v>60.3</v>
      </c>
      <c r="F69" s="59"/>
      <c r="G69" s="59"/>
    </row>
    <row r="70" spans="1:7" ht="12.75">
      <c r="A70" s="59" t="s">
        <v>49</v>
      </c>
      <c r="B70" s="83">
        <v>40.29</v>
      </c>
      <c r="C70" s="55">
        <v>1.1</v>
      </c>
      <c r="D70" s="55">
        <v>39.59</v>
      </c>
      <c r="E70" s="55">
        <v>40.99</v>
      </c>
      <c r="F70" s="59"/>
      <c r="G70" s="59"/>
    </row>
    <row r="71" spans="1:7" ht="12.75">
      <c r="A71" s="59" t="s">
        <v>50</v>
      </c>
      <c r="B71" s="83">
        <v>0.1</v>
      </c>
      <c r="C71" s="55">
        <v>29.7</v>
      </c>
      <c r="D71" s="55">
        <v>0</v>
      </c>
      <c r="E71" s="55">
        <v>0.15</v>
      </c>
      <c r="F71" s="59"/>
      <c r="G71" s="59"/>
    </row>
    <row r="72" spans="1:7" ht="12.75">
      <c r="A72" s="63" t="s">
        <v>54</v>
      </c>
      <c r="B72" s="139"/>
      <c r="C72" s="138"/>
      <c r="D72" s="138"/>
      <c r="E72" s="138"/>
      <c r="F72" s="59"/>
      <c r="G72" s="59"/>
    </row>
    <row r="73" spans="1:7" ht="12.75">
      <c r="A73" s="59" t="s">
        <v>48</v>
      </c>
      <c r="B73" s="83">
        <v>66.4</v>
      </c>
      <c r="C73" s="55">
        <v>4.17</v>
      </c>
      <c r="D73" s="55">
        <v>65.98</v>
      </c>
      <c r="E73" s="55">
        <v>66.89</v>
      </c>
      <c r="F73" s="59"/>
      <c r="G73" s="59"/>
    </row>
    <row r="74" spans="1:7" ht="12.75">
      <c r="A74" s="59" t="s">
        <v>49</v>
      </c>
      <c r="B74" s="83">
        <v>33.4</v>
      </c>
      <c r="C74" s="55">
        <v>8.27</v>
      </c>
      <c r="D74" s="55">
        <v>32.98</v>
      </c>
      <c r="E74" s="55">
        <v>33.89</v>
      </c>
      <c r="F74" s="59"/>
      <c r="G74" s="59"/>
    </row>
    <row r="75" spans="1:7" ht="12.75">
      <c r="A75" s="59" t="s">
        <v>50</v>
      </c>
      <c r="B75" s="83">
        <v>0.1</v>
      </c>
      <c r="C75" s="55">
        <v>24.01</v>
      </c>
      <c r="D75" s="55">
        <v>0</v>
      </c>
      <c r="E75" s="55">
        <v>0.17</v>
      </c>
      <c r="F75" s="59"/>
      <c r="G75" s="59"/>
    </row>
    <row r="76" spans="1:7" ht="12.75">
      <c r="A76" s="63" t="s">
        <v>55</v>
      </c>
      <c r="B76" s="139"/>
      <c r="C76" s="138"/>
      <c r="D76" s="138"/>
      <c r="E76" s="138"/>
      <c r="F76" s="59"/>
      <c r="G76" s="59"/>
    </row>
    <row r="77" spans="1:7" ht="12.75">
      <c r="A77" s="59" t="s">
        <v>48</v>
      </c>
      <c r="B77" s="83">
        <v>97.6</v>
      </c>
      <c r="C77" s="55">
        <v>0.21</v>
      </c>
      <c r="D77" s="55">
        <v>97.2</v>
      </c>
      <c r="E77" s="55">
        <v>97.9</v>
      </c>
      <c r="F77" s="59"/>
      <c r="G77" s="59"/>
    </row>
    <row r="78" spans="1:7" ht="12.75">
      <c r="A78" s="59" t="s">
        <v>49</v>
      </c>
      <c r="B78" s="83">
        <v>2.4</v>
      </c>
      <c r="C78" s="55">
        <v>8.75</v>
      </c>
      <c r="D78" s="55">
        <v>2.09</v>
      </c>
      <c r="E78" s="55">
        <v>2.8</v>
      </c>
      <c r="F78" s="59"/>
      <c r="G78" s="59"/>
    </row>
    <row r="79" spans="1:7" ht="12.75">
      <c r="A79" s="59" t="s">
        <v>50</v>
      </c>
      <c r="B79" s="83">
        <v>0</v>
      </c>
      <c r="C79" s="55">
        <v>0</v>
      </c>
      <c r="D79" s="55">
        <v>0.016544</v>
      </c>
      <c r="E79" s="55">
        <v>0</v>
      </c>
      <c r="F79" s="59"/>
      <c r="G79" s="59"/>
    </row>
    <row r="80" spans="1:7" ht="12.75">
      <c r="A80" s="59"/>
      <c r="B80" s="62"/>
      <c r="C80" s="62"/>
      <c r="D80" s="62"/>
      <c r="E80" s="62"/>
      <c r="F80" s="59"/>
      <c r="G80" s="59"/>
    </row>
    <row r="81" spans="1:7" ht="12.75">
      <c r="A81" s="63" t="s">
        <v>131</v>
      </c>
      <c r="B81" s="131"/>
      <c r="C81" s="131"/>
      <c r="D81" s="131"/>
      <c r="E81" s="131"/>
      <c r="F81" s="59"/>
      <c r="G81" s="59"/>
    </row>
    <row r="82" spans="1:7" ht="12.75">
      <c r="A82" s="63" t="s">
        <v>108</v>
      </c>
      <c r="B82" s="131"/>
      <c r="C82" s="131"/>
      <c r="D82" s="131"/>
      <c r="E82" s="131"/>
      <c r="F82" s="59"/>
      <c r="G82" s="59"/>
    </row>
    <row r="83" spans="1:7" ht="12.75">
      <c r="A83" s="59" t="s">
        <v>35</v>
      </c>
      <c r="B83" s="55">
        <v>6.7057</v>
      </c>
      <c r="C83" s="55">
        <v>3.9490999999999996</v>
      </c>
      <c r="D83" s="55">
        <v>6.270086</v>
      </c>
      <c r="E83" s="55">
        <v>7.141274</v>
      </c>
      <c r="F83" s="59"/>
      <c r="G83" s="59"/>
    </row>
    <row r="84" spans="1:7" ht="12.75">
      <c r="A84" s="59" t="s">
        <v>36</v>
      </c>
      <c r="B84" s="55">
        <v>40.7652</v>
      </c>
      <c r="C84" s="55">
        <v>1.1785999999999999</v>
      </c>
      <c r="D84" s="55">
        <v>39.974875</v>
      </c>
      <c r="E84" s="55">
        <v>41.555439</v>
      </c>
      <c r="F84" s="59"/>
      <c r="G84" s="59"/>
    </row>
    <row r="85" spans="1:7" ht="12.75">
      <c r="A85" s="59" t="s">
        <v>37</v>
      </c>
      <c r="B85" s="55">
        <v>33.3572</v>
      </c>
      <c r="C85" s="55">
        <v>1.3678</v>
      </c>
      <c r="D85" s="55">
        <v>32.606665</v>
      </c>
      <c r="E85" s="55">
        <v>34.107665</v>
      </c>
      <c r="F85" s="59"/>
      <c r="G85" s="59"/>
    </row>
    <row r="86" spans="1:7" ht="12.75">
      <c r="A86" s="59" t="s">
        <v>38</v>
      </c>
      <c r="B86" s="55">
        <v>10.888100000000001</v>
      </c>
      <c r="C86" s="55">
        <v>2.7148</v>
      </c>
      <c r="D86" s="55">
        <v>10.401905</v>
      </c>
      <c r="E86" s="55">
        <v>11.374345</v>
      </c>
      <c r="F86" s="59"/>
      <c r="G86" s="59"/>
    </row>
    <row r="87" spans="1:7" ht="12.75">
      <c r="A87" s="59" t="s">
        <v>39</v>
      </c>
      <c r="B87" s="55">
        <v>8.2839</v>
      </c>
      <c r="C87" s="55">
        <v>3.4000000000000004</v>
      </c>
      <c r="D87" s="55">
        <v>7.820575000000001</v>
      </c>
      <c r="E87" s="55">
        <v>8.74717</v>
      </c>
      <c r="F87" s="59"/>
      <c r="G87" s="59"/>
    </row>
    <row r="88" spans="1:7" ht="12.75">
      <c r="A88" s="63" t="s">
        <v>125</v>
      </c>
      <c r="B88" s="131"/>
      <c r="C88" s="131"/>
      <c r="D88" s="131"/>
      <c r="E88" s="131"/>
      <c r="F88" s="59"/>
      <c r="G88" s="59"/>
    </row>
    <row r="89" spans="1:7" ht="12.75">
      <c r="A89" s="59" t="s">
        <v>57</v>
      </c>
      <c r="B89" s="136">
        <v>96.04310000000001</v>
      </c>
      <c r="C89" s="136">
        <v>0.1905</v>
      </c>
      <c r="D89" s="136">
        <v>95.742165</v>
      </c>
      <c r="E89" s="136">
        <v>96.34397</v>
      </c>
      <c r="F89" s="59"/>
      <c r="G89" s="59"/>
    </row>
    <row r="90" spans="1:7" ht="12.75">
      <c r="A90" s="59" t="s">
        <v>58</v>
      </c>
      <c r="B90" s="136">
        <v>3.9569</v>
      </c>
      <c r="C90" s="136">
        <v>4.623</v>
      </c>
      <c r="D90" s="136">
        <v>3.65603</v>
      </c>
      <c r="E90" s="136">
        <v>4.257835</v>
      </c>
      <c r="F90" s="59"/>
      <c r="G90" s="59"/>
    </row>
    <row r="91" spans="1:7" ht="12.75">
      <c r="A91" s="63" t="s">
        <v>52</v>
      </c>
      <c r="B91" s="131"/>
      <c r="C91" s="131"/>
      <c r="D91" s="131"/>
      <c r="E91" s="131"/>
      <c r="F91" s="59"/>
      <c r="G91" s="59"/>
    </row>
    <row r="92" spans="1:7" ht="12.75">
      <c r="A92" s="59" t="s">
        <v>59</v>
      </c>
      <c r="B92" s="62"/>
      <c r="C92" s="62"/>
      <c r="D92" s="62"/>
      <c r="E92" s="62"/>
      <c r="F92" s="59"/>
      <c r="G92" s="59"/>
    </row>
    <row r="93" spans="1:7" ht="12.75">
      <c r="A93" s="59" t="s">
        <v>57</v>
      </c>
      <c r="B93" s="83">
        <v>83.5941</v>
      </c>
      <c r="C93" s="73">
        <v>1.5495999999999999</v>
      </c>
      <c r="D93" s="73">
        <v>81.462324</v>
      </c>
      <c r="E93" s="73">
        <v>85.725867</v>
      </c>
      <c r="F93" s="59"/>
      <c r="G93" s="59"/>
    </row>
    <row r="94" spans="1:7" ht="12.75">
      <c r="A94" s="59" t="s">
        <v>58</v>
      </c>
      <c r="B94" s="83">
        <v>16.405900000000003</v>
      </c>
      <c r="C94" s="73">
        <v>7.8956</v>
      </c>
      <c r="D94" s="73">
        <v>14.274132999999999</v>
      </c>
      <c r="E94" s="73">
        <v>18.537676</v>
      </c>
      <c r="F94" s="59"/>
      <c r="G94" s="59"/>
    </row>
    <row r="95" spans="1:7" ht="12.75">
      <c r="A95" s="59" t="s">
        <v>60</v>
      </c>
      <c r="B95" s="62"/>
      <c r="C95" s="62"/>
      <c r="D95" s="62"/>
      <c r="E95" s="62"/>
      <c r="F95" s="59"/>
      <c r="G95" s="59"/>
    </row>
    <row r="96" spans="1:7" ht="12.75">
      <c r="A96" s="59" t="s">
        <v>57</v>
      </c>
      <c r="B96" s="83">
        <v>98.6991</v>
      </c>
      <c r="C96" s="73">
        <v>0.13110000000000002</v>
      </c>
      <c r="D96" s="73">
        <v>98.486189</v>
      </c>
      <c r="E96" s="73">
        <v>98.91204</v>
      </c>
      <c r="F96" s="59"/>
      <c r="G96" s="59"/>
    </row>
    <row r="97" spans="1:7" ht="12.75">
      <c r="A97" s="59" t="s">
        <v>58</v>
      </c>
      <c r="B97" s="83">
        <v>1.3009</v>
      </c>
      <c r="C97" s="73">
        <v>9.950299999999999</v>
      </c>
      <c r="D97" s="73">
        <v>1.08796</v>
      </c>
      <c r="E97" s="73">
        <v>1.513811</v>
      </c>
      <c r="F97" s="59"/>
      <c r="G97" s="59"/>
    </row>
    <row r="98" spans="1:7" ht="12.75">
      <c r="A98" s="59" t="s">
        <v>61</v>
      </c>
      <c r="B98" s="62"/>
      <c r="C98" s="62"/>
      <c r="D98" s="62"/>
      <c r="E98" s="62"/>
      <c r="F98" s="59"/>
      <c r="G98" s="59"/>
    </row>
    <row r="99" spans="1:7" ht="12.75">
      <c r="A99" s="59" t="s">
        <v>57</v>
      </c>
      <c r="B99" s="83">
        <v>91.54050000000001</v>
      </c>
      <c r="C99" s="73">
        <v>0.6061000000000001</v>
      </c>
      <c r="D99" s="73">
        <v>90.627682</v>
      </c>
      <c r="E99" s="73">
        <v>92.453326</v>
      </c>
      <c r="F99" s="59"/>
      <c r="G99" s="59"/>
    </row>
    <row r="100" spans="1:7" ht="12.75">
      <c r="A100" s="59" t="s">
        <v>58</v>
      </c>
      <c r="B100" s="83">
        <v>8.4595</v>
      </c>
      <c r="C100" s="73">
        <v>6.5591</v>
      </c>
      <c r="D100" s="73">
        <v>7.546674</v>
      </c>
      <c r="E100" s="73">
        <v>9.372318</v>
      </c>
      <c r="F100" s="59"/>
      <c r="G100" s="59"/>
    </row>
    <row r="101" spans="1:7" ht="12.75">
      <c r="A101" s="63" t="s">
        <v>62</v>
      </c>
      <c r="B101" s="131"/>
      <c r="C101" s="131"/>
      <c r="D101" s="131"/>
      <c r="E101" s="131"/>
      <c r="F101" s="59"/>
      <c r="G101" s="59"/>
    </row>
    <row r="102" spans="1:7" ht="12.75">
      <c r="A102" s="63" t="s">
        <v>35</v>
      </c>
      <c r="B102" s="131"/>
      <c r="C102" s="131"/>
      <c r="D102" s="131"/>
      <c r="E102" s="131"/>
      <c r="F102" s="59"/>
      <c r="G102" s="59"/>
    </row>
    <row r="103" spans="1:7" ht="12.75">
      <c r="A103" s="59" t="s">
        <v>57</v>
      </c>
      <c r="B103" s="136">
        <v>92.2339</v>
      </c>
      <c r="C103" s="136">
        <v>1.1649</v>
      </c>
      <c r="D103" s="136">
        <v>90.465431</v>
      </c>
      <c r="E103" s="136">
        <v>94.002301</v>
      </c>
      <c r="F103" s="59"/>
      <c r="G103" s="59"/>
    </row>
    <row r="104" spans="1:7" ht="12.75">
      <c r="A104" s="59" t="s">
        <v>58</v>
      </c>
      <c r="B104" s="136">
        <v>7.7661</v>
      </c>
      <c r="C104" s="136">
        <v>13.8353</v>
      </c>
      <c r="D104" s="136">
        <v>5.997699</v>
      </c>
      <c r="E104" s="136">
        <v>9.534569</v>
      </c>
      <c r="F104" s="59"/>
      <c r="G104" s="59"/>
    </row>
    <row r="105" spans="1:7" ht="12.75">
      <c r="A105" s="63" t="s">
        <v>36</v>
      </c>
      <c r="B105" s="131"/>
      <c r="C105" s="131"/>
      <c r="D105" s="131"/>
      <c r="E105" s="131"/>
      <c r="F105" s="59"/>
      <c r="G105" s="59"/>
    </row>
    <row r="106" spans="1:7" ht="12.75">
      <c r="A106" s="59" t="s">
        <v>57</v>
      </c>
      <c r="B106" s="136">
        <v>94.2804</v>
      </c>
      <c r="C106" s="136">
        <v>0.36779999999999996</v>
      </c>
      <c r="D106" s="136">
        <v>93.709905</v>
      </c>
      <c r="E106" s="136">
        <v>94.85082299999999</v>
      </c>
      <c r="F106" s="59"/>
      <c r="G106" s="59"/>
    </row>
    <row r="107" spans="1:7" ht="12.75">
      <c r="A107" s="59" t="s">
        <v>58</v>
      </c>
      <c r="B107" s="136">
        <v>5.7196</v>
      </c>
      <c r="C107" s="136">
        <v>6.063000000000001</v>
      </c>
      <c r="D107" s="136">
        <v>5.149177</v>
      </c>
      <c r="E107" s="136">
        <v>6.290095</v>
      </c>
      <c r="F107" s="59"/>
      <c r="G107" s="59"/>
    </row>
    <row r="108" spans="1:7" ht="12.75">
      <c r="A108" s="63" t="s">
        <v>37</v>
      </c>
      <c r="B108" s="131"/>
      <c r="C108" s="135"/>
      <c r="D108" s="135"/>
      <c r="E108" s="135"/>
      <c r="F108" s="59"/>
      <c r="G108" s="59"/>
    </row>
    <row r="109" spans="1:7" ht="12.75">
      <c r="A109" s="59" t="s">
        <v>57</v>
      </c>
      <c r="B109" s="136">
        <v>97.5962</v>
      </c>
      <c r="C109" s="136">
        <v>0.2372</v>
      </c>
      <c r="D109" s="136">
        <v>97.215335</v>
      </c>
      <c r="E109" s="136">
        <v>97.977021</v>
      </c>
      <c r="F109" s="59"/>
      <c r="G109" s="59"/>
    </row>
    <row r="110" spans="1:7" ht="12.75">
      <c r="A110" s="59" t="s">
        <v>58</v>
      </c>
      <c r="B110" s="136">
        <v>2.4038</v>
      </c>
      <c r="C110" s="136">
        <v>9.631</v>
      </c>
      <c r="D110" s="136">
        <v>2.0229790000000003</v>
      </c>
      <c r="E110" s="136">
        <v>2.784665</v>
      </c>
      <c r="F110" s="59"/>
      <c r="G110" s="59"/>
    </row>
    <row r="111" spans="1:7" ht="12.75">
      <c r="A111" s="63" t="s">
        <v>38</v>
      </c>
      <c r="B111" s="131"/>
      <c r="C111" s="131"/>
      <c r="D111" s="131"/>
      <c r="E111" s="131"/>
      <c r="F111" s="59"/>
      <c r="G111" s="59"/>
    </row>
    <row r="112" spans="1:7" ht="12.75">
      <c r="A112" s="59" t="s">
        <v>57</v>
      </c>
      <c r="B112" s="136">
        <v>98.4079</v>
      </c>
      <c r="C112" s="136">
        <v>0.2979</v>
      </c>
      <c r="D112" s="136">
        <v>97.92560900000001</v>
      </c>
      <c r="E112" s="136">
        <v>98.89025099999999</v>
      </c>
      <c r="F112" s="59"/>
      <c r="G112" s="59"/>
    </row>
    <row r="113" spans="1:7" ht="12.75">
      <c r="A113" s="59" t="s">
        <v>58</v>
      </c>
      <c r="B113" s="142" t="s">
        <v>89</v>
      </c>
      <c r="C113" s="136"/>
      <c r="D113" s="136"/>
      <c r="E113" s="136"/>
      <c r="F113" s="59"/>
      <c r="G113" s="59"/>
    </row>
    <row r="114" spans="1:7" ht="12.75">
      <c r="A114" s="63" t="s">
        <v>39</v>
      </c>
      <c r="B114" s="131"/>
      <c r="C114" s="131"/>
      <c r="D114" s="131"/>
      <c r="E114" s="131"/>
      <c r="F114" s="59"/>
      <c r="G114" s="59"/>
    </row>
    <row r="115" spans="1:7" ht="12.75">
      <c r="A115" s="59" t="s">
        <v>57</v>
      </c>
      <c r="B115" s="136">
        <v>98.5749</v>
      </c>
      <c r="C115" s="136">
        <v>0.3579</v>
      </c>
      <c r="D115" s="136">
        <v>97.994255</v>
      </c>
      <c r="E115" s="136">
        <v>99.15559400000001</v>
      </c>
      <c r="F115" s="59"/>
      <c r="G115" s="59"/>
    </row>
    <row r="116" spans="1:7" ht="12.75">
      <c r="A116" s="59" t="s">
        <v>58</v>
      </c>
      <c r="B116" s="142" t="s">
        <v>89</v>
      </c>
      <c r="C116" s="136"/>
      <c r="D116" s="136"/>
      <c r="E116" s="136"/>
      <c r="F116" s="59"/>
      <c r="G116" s="59"/>
    </row>
    <row r="117" spans="1:7" ht="12.75">
      <c r="A117" s="63" t="s">
        <v>63</v>
      </c>
      <c r="B117" s="131"/>
      <c r="C117" s="131"/>
      <c r="D117" s="131"/>
      <c r="E117" s="131"/>
      <c r="F117" s="59"/>
      <c r="G117" s="59"/>
    </row>
    <row r="118" spans="1:7" ht="12.75">
      <c r="A118" s="59" t="s">
        <v>57</v>
      </c>
      <c r="B118" s="136">
        <v>47.7335</v>
      </c>
      <c r="C118" s="136">
        <v>1.384</v>
      </c>
      <c r="D118" s="136">
        <v>46.646800999999996</v>
      </c>
      <c r="E118" s="136">
        <v>48.820239</v>
      </c>
      <c r="F118" s="59"/>
      <c r="G118" s="59"/>
    </row>
    <row r="119" spans="1:7" ht="12.75">
      <c r="A119" s="59" t="s">
        <v>58</v>
      </c>
      <c r="B119" s="136">
        <v>52.26650000000001</v>
      </c>
      <c r="C119" s="136">
        <v>1.264</v>
      </c>
      <c r="D119" s="136">
        <v>51.179761</v>
      </c>
      <c r="E119" s="136">
        <v>53.353199</v>
      </c>
      <c r="F119" s="59"/>
      <c r="G119" s="59"/>
    </row>
    <row r="120" spans="1:7" ht="12.75">
      <c r="A120" s="63" t="s">
        <v>64</v>
      </c>
      <c r="B120" s="131"/>
      <c r="C120" s="131"/>
      <c r="D120" s="131"/>
      <c r="E120" s="131"/>
      <c r="F120" s="59"/>
      <c r="G120" s="59"/>
    </row>
    <row r="121" spans="1:7" ht="12.75">
      <c r="A121" s="59" t="s">
        <v>65</v>
      </c>
      <c r="B121" s="62"/>
      <c r="C121" s="62"/>
      <c r="D121" s="62"/>
      <c r="E121" s="62"/>
      <c r="F121" s="59"/>
      <c r="G121" s="59"/>
    </row>
    <row r="122" spans="1:7" ht="12.75">
      <c r="A122" s="59" t="s">
        <v>66</v>
      </c>
      <c r="B122" s="142" t="s">
        <v>89</v>
      </c>
      <c r="C122" s="55"/>
      <c r="D122" s="55"/>
      <c r="E122" s="55"/>
      <c r="F122" s="59"/>
      <c r="G122" s="59"/>
    </row>
    <row r="123" spans="1:7" ht="12.75">
      <c r="A123" s="59" t="s">
        <v>67</v>
      </c>
      <c r="B123" s="55">
        <v>27.724700000000002</v>
      </c>
      <c r="C123" s="55">
        <v>3.0034</v>
      </c>
      <c r="D123" s="55">
        <v>26.354925</v>
      </c>
      <c r="E123" s="55">
        <v>29.094569999999997</v>
      </c>
      <c r="F123" s="59"/>
      <c r="G123" s="59"/>
    </row>
    <row r="124" spans="1:7" ht="12.75">
      <c r="A124" s="59" t="s">
        <v>68</v>
      </c>
      <c r="B124" s="55">
        <v>70.7659</v>
      </c>
      <c r="C124" s="55">
        <v>1.2098</v>
      </c>
      <c r="D124" s="55">
        <v>69.357497</v>
      </c>
      <c r="E124" s="55">
        <v>72.174255</v>
      </c>
      <c r="F124" s="59"/>
      <c r="G124" s="59"/>
    </row>
    <row r="125" spans="1:7" ht="12.75">
      <c r="A125" s="59" t="s">
        <v>69</v>
      </c>
      <c r="B125" s="142" t="s">
        <v>89</v>
      </c>
      <c r="C125" s="55"/>
      <c r="D125" s="55"/>
      <c r="E125" s="55"/>
      <c r="F125" s="59"/>
      <c r="G125" s="59"/>
    </row>
    <row r="126" spans="1:7" ht="12.75">
      <c r="A126" s="63" t="s">
        <v>70</v>
      </c>
      <c r="B126" s="131"/>
      <c r="C126" s="131"/>
      <c r="D126" s="131"/>
      <c r="E126" s="131"/>
      <c r="F126" s="59"/>
      <c r="G126" s="59"/>
    </row>
    <row r="127" spans="1:7" ht="12.75">
      <c r="A127" s="59" t="s">
        <v>71</v>
      </c>
      <c r="B127" s="87"/>
      <c r="C127" s="62"/>
      <c r="D127" s="62"/>
      <c r="E127" s="62"/>
      <c r="F127" s="59"/>
      <c r="G127" s="59"/>
    </row>
    <row r="128" spans="1:7" ht="12.75">
      <c r="A128" s="59" t="s">
        <v>72</v>
      </c>
      <c r="B128" s="83">
        <v>4.0521</v>
      </c>
      <c r="C128" s="55">
        <v>8.3037</v>
      </c>
      <c r="D128" s="55">
        <v>3.498576</v>
      </c>
      <c r="E128" s="55">
        <v>4.605630000000001</v>
      </c>
      <c r="F128" s="59"/>
      <c r="G128" s="59"/>
    </row>
    <row r="129" spans="1:7" ht="12.75">
      <c r="A129" s="59" t="s">
        <v>73</v>
      </c>
      <c r="B129" s="83">
        <v>8.4658</v>
      </c>
      <c r="C129" s="55">
        <v>5.8978</v>
      </c>
      <c r="D129" s="55">
        <v>7.644416</v>
      </c>
      <c r="E129" s="55">
        <v>9.287183</v>
      </c>
      <c r="F129" s="59"/>
      <c r="G129" s="59"/>
    </row>
    <row r="130" spans="1:7" ht="12.75">
      <c r="A130" s="59" t="s">
        <v>74</v>
      </c>
      <c r="B130" s="83">
        <v>31.2425</v>
      </c>
      <c r="C130" s="55">
        <v>2.7609000000000004</v>
      </c>
      <c r="D130" s="55">
        <v>29.823475</v>
      </c>
      <c r="E130" s="55">
        <v>32.661453</v>
      </c>
      <c r="F130" s="59"/>
      <c r="G130" s="59"/>
    </row>
    <row r="131" spans="1:7" ht="12.75">
      <c r="A131" s="59" t="s">
        <v>75</v>
      </c>
      <c r="B131" s="83">
        <v>45.7651</v>
      </c>
      <c r="C131" s="55">
        <v>2.0212</v>
      </c>
      <c r="D131" s="55">
        <v>44.243384</v>
      </c>
      <c r="E131" s="55">
        <v>47.286791</v>
      </c>
      <c r="F131" s="59"/>
      <c r="G131" s="59"/>
    </row>
    <row r="132" spans="1:7" ht="12.75">
      <c r="A132" s="59" t="s">
        <v>76</v>
      </c>
      <c r="B132" s="83">
        <v>5.6139</v>
      </c>
      <c r="C132" s="55">
        <v>7.5877</v>
      </c>
      <c r="D132" s="55">
        <v>4.913178</v>
      </c>
      <c r="E132" s="55">
        <v>6.3146830000000005</v>
      </c>
      <c r="F132" s="59"/>
      <c r="G132" s="59"/>
    </row>
    <row r="133" spans="1:7" ht="12.75">
      <c r="A133" s="59" t="s">
        <v>77</v>
      </c>
      <c r="B133" s="83">
        <v>4.860600000000001</v>
      </c>
      <c r="C133" s="55">
        <v>7.746300000000001</v>
      </c>
      <c r="D133" s="55">
        <v>4.241215</v>
      </c>
      <c r="E133" s="55">
        <v>5.480015</v>
      </c>
      <c r="F133" s="59"/>
      <c r="G133" s="59"/>
    </row>
    <row r="134" spans="1:7" ht="12.75">
      <c r="A134" s="63" t="s">
        <v>88</v>
      </c>
      <c r="B134" s="131"/>
      <c r="C134" s="131"/>
      <c r="D134" s="131"/>
      <c r="E134" s="131"/>
      <c r="F134" s="59"/>
      <c r="G134" s="59"/>
    </row>
    <row r="135" spans="1:7" ht="12.75">
      <c r="A135" s="63" t="s">
        <v>78</v>
      </c>
      <c r="B135" s="131"/>
      <c r="C135" s="131"/>
      <c r="D135" s="131"/>
      <c r="E135" s="131"/>
      <c r="F135" s="59"/>
      <c r="G135" s="59"/>
    </row>
    <row r="136" spans="1:7" ht="12.75">
      <c r="A136" s="59" t="s">
        <v>72</v>
      </c>
      <c r="B136" s="55">
        <v>3.0796</v>
      </c>
      <c r="C136" s="55">
        <v>9.0146</v>
      </c>
      <c r="D136" s="55">
        <v>2.6228890000000002</v>
      </c>
      <c r="E136" s="55">
        <v>3.536239</v>
      </c>
      <c r="F136" s="59"/>
      <c r="G136" s="59"/>
    </row>
    <row r="137" spans="1:7" ht="12.75">
      <c r="A137" s="59" t="s">
        <v>73</v>
      </c>
      <c r="B137" s="55">
        <v>6.9039</v>
      </c>
      <c r="C137" s="55">
        <v>5.9837</v>
      </c>
      <c r="D137" s="55">
        <v>6.224366</v>
      </c>
      <c r="E137" s="55">
        <v>7.5835159999999995</v>
      </c>
      <c r="F137" s="59"/>
      <c r="G137" s="59"/>
    </row>
    <row r="138" spans="1:7" ht="12.75">
      <c r="A138" s="59" t="s">
        <v>74</v>
      </c>
      <c r="B138" s="55">
        <v>18.5243</v>
      </c>
      <c r="C138" s="55">
        <v>3.6116</v>
      </c>
      <c r="D138" s="55">
        <v>17.423755</v>
      </c>
      <c r="E138" s="55">
        <v>19.624916</v>
      </c>
      <c r="F138" s="59"/>
      <c r="G138" s="59"/>
    </row>
    <row r="139" spans="1:7" ht="12.75">
      <c r="A139" s="59" t="s">
        <v>75</v>
      </c>
      <c r="B139" s="55">
        <v>32.9478</v>
      </c>
      <c r="C139" s="55">
        <v>2.3810000000000002</v>
      </c>
      <c r="D139" s="55">
        <v>31.657272</v>
      </c>
      <c r="E139" s="55">
        <v>34.238233</v>
      </c>
      <c r="F139" s="59"/>
      <c r="G139" s="59"/>
    </row>
    <row r="140" spans="1:7" ht="12.75">
      <c r="A140" s="59" t="s">
        <v>76</v>
      </c>
      <c r="B140" s="55">
        <v>24.5226</v>
      </c>
      <c r="C140" s="55">
        <v>2.8872999999999998</v>
      </c>
      <c r="D140" s="55">
        <v>23.357898</v>
      </c>
      <c r="E140" s="55">
        <v>25.687374000000002</v>
      </c>
      <c r="F140" s="59"/>
      <c r="G140" s="59"/>
    </row>
    <row r="141" spans="1:7" ht="12.75">
      <c r="A141" s="59" t="s">
        <v>77</v>
      </c>
      <c r="B141" s="55">
        <v>14.0218</v>
      </c>
      <c r="C141" s="55">
        <v>3.9285</v>
      </c>
      <c r="D141" s="55">
        <v>13.115619</v>
      </c>
      <c r="E141" s="55">
        <v>14.927924</v>
      </c>
      <c r="F141" s="59"/>
      <c r="G141" s="59"/>
    </row>
    <row r="142" spans="1:7" ht="12.75">
      <c r="A142" s="63" t="s">
        <v>79</v>
      </c>
      <c r="B142" s="131"/>
      <c r="C142" s="131"/>
      <c r="D142" s="131"/>
      <c r="E142" s="131"/>
      <c r="F142" s="59"/>
      <c r="G142" s="59"/>
    </row>
    <row r="143" spans="1:7" ht="12.75">
      <c r="A143" s="59" t="s">
        <v>72</v>
      </c>
      <c r="B143" s="55">
        <v>5.2635000000000005</v>
      </c>
      <c r="C143" s="55">
        <v>3.1496999999999997</v>
      </c>
      <c r="D143" s="55">
        <v>4.990755</v>
      </c>
      <c r="E143" s="55">
        <v>5.536149</v>
      </c>
      <c r="F143" s="59"/>
      <c r="G143" s="59"/>
    </row>
    <row r="144" spans="1:7" ht="12.75">
      <c r="A144" s="59" t="s">
        <v>73</v>
      </c>
      <c r="B144" s="55">
        <v>17.6364</v>
      </c>
      <c r="C144" s="55">
        <v>1.5507</v>
      </c>
      <c r="D144" s="55">
        <v>17.186533</v>
      </c>
      <c r="E144" s="55">
        <v>18.08627</v>
      </c>
      <c r="F144" s="59"/>
      <c r="G144" s="59"/>
    </row>
    <row r="145" spans="1:7" ht="12.75">
      <c r="A145" s="59" t="s">
        <v>74</v>
      </c>
      <c r="B145" s="55">
        <v>15.3954</v>
      </c>
      <c r="C145" s="55">
        <v>1.6570999999999998</v>
      </c>
      <c r="D145" s="55">
        <v>14.975710000000001</v>
      </c>
      <c r="E145" s="55">
        <v>15.815003999999998</v>
      </c>
      <c r="F145" s="59"/>
      <c r="G145" s="59"/>
    </row>
    <row r="146" spans="1:7" ht="12.75">
      <c r="A146" s="59" t="s">
        <v>75</v>
      </c>
      <c r="B146" s="55">
        <v>26.9232</v>
      </c>
      <c r="C146" s="55">
        <v>1.1606</v>
      </c>
      <c r="D146" s="55">
        <v>26.409195</v>
      </c>
      <c r="E146" s="55">
        <v>27.437145</v>
      </c>
      <c r="F146" s="59"/>
      <c r="G146" s="59"/>
    </row>
    <row r="147" spans="1:7" ht="12.75">
      <c r="A147" s="59" t="s">
        <v>76</v>
      </c>
      <c r="B147" s="55">
        <v>11.3792</v>
      </c>
      <c r="C147" s="55">
        <v>1.9292</v>
      </c>
      <c r="D147" s="55">
        <v>11.018061</v>
      </c>
      <c r="E147" s="55">
        <v>11.74027</v>
      </c>
      <c r="F147" s="59"/>
      <c r="G147" s="59"/>
    </row>
    <row r="148" spans="1:7" ht="12.75">
      <c r="A148" s="59" t="s">
        <v>77</v>
      </c>
      <c r="B148" s="55">
        <v>23.4025</v>
      </c>
      <c r="C148" s="55">
        <v>1.2789</v>
      </c>
      <c r="D148" s="55">
        <v>22.910155</v>
      </c>
      <c r="E148" s="55">
        <v>23.894752999999998</v>
      </c>
      <c r="F148" s="59"/>
      <c r="G148" s="59"/>
    </row>
    <row r="149" spans="1:7" ht="12.75">
      <c r="A149" s="63" t="s">
        <v>55</v>
      </c>
      <c r="B149" s="131"/>
      <c r="C149" s="131"/>
      <c r="D149" s="131"/>
      <c r="E149" s="131"/>
      <c r="F149" s="59"/>
      <c r="G149" s="59"/>
    </row>
    <row r="150" spans="1:7" ht="12.75">
      <c r="A150" s="59" t="s">
        <v>72</v>
      </c>
      <c r="B150" s="55">
        <v>14.882100000000001</v>
      </c>
      <c r="C150" s="55">
        <v>2.9409</v>
      </c>
      <c r="D150" s="55">
        <v>14.162164999999998</v>
      </c>
      <c r="E150" s="55">
        <v>15.602035</v>
      </c>
      <c r="F150" s="59"/>
      <c r="G150" s="59"/>
    </row>
    <row r="151" spans="1:7" ht="12.75">
      <c r="A151" s="59" t="s">
        <v>73</v>
      </c>
      <c r="B151" s="55">
        <v>35.4731</v>
      </c>
      <c r="C151" s="55">
        <v>1.7277</v>
      </c>
      <c r="D151" s="55">
        <v>34.464996</v>
      </c>
      <c r="E151" s="55">
        <v>36.481267</v>
      </c>
      <c r="F151" s="59"/>
      <c r="G151" s="59"/>
    </row>
    <row r="152" spans="1:7" ht="12.75">
      <c r="A152" s="59" t="s">
        <v>74</v>
      </c>
      <c r="B152" s="55">
        <v>10.0701</v>
      </c>
      <c r="C152" s="55">
        <v>3.7282</v>
      </c>
      <c r="D152" s="55">
        <v>9.452563</v>
      </c>
      <c r="E152" s="55">
        <v>10.687705</v>
      </c>
      <c r="F152" s="59"/>
      <c r="G152" s="59"/>
    </row>
    <row r="153" spans="1:7" ht="12.75">
      <c r="A153" s="59" t="s">
        <v>75</v>
      </c>
      <c r="B153" s="55">
        <v>19.526699999999998</v>
      </c>
      <c r="C153" s="55">
        <v>2.53</v>
      </c>
      <c r="D153" s="55">
        <v>18.714056</v>
      </c>
      <c r="E153" s="55">
        <v>20.339363</v>
      </c>
      <c r="F153" s="59"/>
      <c r="G153" s="59"/>
    </row>
    <row r="154" spans="1:7" ht="12.75">
      <c r="A154" s="59" t="s">
        <v>76</v>
      </c>
      <c r="B154" s="55">
        <v>4.8569</v>
      </c>
      <c r="C154" s="55">
        <v>5.6123</v>
      </c>
      <c r="D154" s="55">
        <v>4.408551</v>
      </c>
      <c r="E154" s="55">
        <v>5.305333</v>
      </c>
      <c r="F154" s="59"/>
      <c r="G154" s="59"/>
    </row>
    <row r="155" spans="1:7" ht="12.75">
      <c r="A155" s="68" t="s">
        <v>77</v>
      </c>
      <c r="B155" s="88">
        <v>15.190999999999999</v>
      </c>
      <c r="C155" s="88">
        <v>3.0467999999999997</v>
      </c>
      <c r="D155" s="88">
        <v>14.429643</v>
      </c>
      <c r="E155" s="88">
        <v>15.952324</v>
      </c>
      <c r="F155" s="59"/>
      <c r="G155" s="59"/>
    </row>
    <row r="156" spans="1:7" ht="12.75">
      <c r="A156" s="59"/>
      <c r="B156" s="62"/>
      <c r="C156" s="62"/>
      <c r="D156" s="62"/>
      <c r="E156" s="62"/>
      <c r="F156" s="59"/>
      <c r="G156" s="59"/>
    </row>
    <row r="157" spans="1:7" ht="12.75">
      <c r="A157" s="59" t="s">
        <v>114</v>
      </c>
      <c r="B157" s="62"/>
      <c r="C157" s="62"/>
      <c r="D157" s="62"/>
      <c r="E157" s="62"/>
      <c r="F157" s="59"/>
      <c r="G157" s="59"/>
    </row>
    <row r="158" spans="1:7" ht="12.75">
      <c r="A158" s="59" t="s">
        <v>115</v>
      </c>
      <c r="B158" s="62"/>
      <c r="C158" s="62"/>
      <c r="D158" s="62"/>
      <c r="E158" s="62"/>
      <c r="F158" s="59"/>
      <c r="G158" s="59"/>
    </row>
    <row r="159" spans="1:7" ht="12.75">
      <c r="A159" s="59" t="s">
        <v>116</v>
      </c>
      <c r="B159" s="62"/>
      <c r="C159" s="62"/>
      <c r="D159" s="62"/>
      <c r="E159" s="62"/>
      <c r="F159" s="59"/>
      <c r="G159" s="59"/>
    </row>
    <row r="160" spans="1:7" ht="12.75">
      <c r="A160" s="36" t="s">
        <v>91</v>
      </c>
      <c r="B160" s="62"/>
      <c r="C160" s="62"/>
      <c r="D160" s="62"/>
      <c r="E160" s="62"/>
      <c r="F160" s="59"/>
      <c r="G160" s="59"/>
    </row>
    <row r="162" ht="12.75">
      <c r="A162" s="59" t="s">
        <v>119</v>
      </c>
    </row>
    <row r="165" spans="1:5" ht="12.75">
      <c r="A165" s="164" t="s">
        <v>123</v>
      </c>
      <c r="B165" s="165"/>
      <c r="C165" s="165"/>
      <c r="D165" s="165"/>
      <c r="E165" s="165"/>
    </row>
    <row r="166" spans="1:5" ht="12.75">
      <c r="A166" s="59"/>
      <c r="B166" s="62"/>
      <c r="C166" s="62"/>
      <c r="D166" s="62"/>
      <c r="E166" s="62"/>
    </row>
    <row r="167" spans="1:5" ht="12.75">
      <c r="A167" s="159" t="s">
        <v>133</v>
      </c>
      <c r="B167" s="159" t="s">
        <v>80</v>
      </c>
      <c r="C167" s="159" t="s">
        <v>81</v>
      </c>
      <c r="D167" s="156" t="s">
        <v>84</v>
      </c>
      <c r="E167" s="156"/>
    </row>
    <row r="168" spans="1:5" ht="12.75">
      <c r="A168" s="163"/>
      <c r="B168" s="163"/>
      <c r="C168" s="163"/>
      <c r="D168" s="69" t="s">
        <v>82</v>
      </c>
      <c r="E168" s="69" t="s">
        <v>83</v>
      </c>
    </row>
    <row r="169" spans="1:5" ht="12.75">
      <c r="A169" s="147"/>
      <c r="B169" s="147"/>
      <c r="C169" s="147"/>
      <c r="D169" s="62"/>
      <c r="E169" s="62"/>
    </row>
    <row r="170" spans="1:5" ht="13.5" customHeight="1">
      <c r="A170" s="61" t="s">
        <v>0</v>
      </c>
      <c r="B170" s="70">
        <v>9171637</v>
      </c>
      <c r="C170" s="58"/>
      <c r="D170" s="58"/>
      <c r="E170" s="58"/>
    </row>
    <row r="171" spans="1:5" ht="12.75">
      <c r="A171" s="63" t="s">
        <v>1</v>
      </c>
      <c r="B171" s="131"/>
      <c r="C171" s="131"/>
      <c r="D171" s="131"/>
      <c r="E171" s="131"/>
    </row>
    <row r="172" spans="1:5" ht="12.75">
      <c r="A172" s="63" t="s">
        <v>2</v>
      </c>
      <c r="B172" s="131"/>
      <c r="C172" s="131"/>
      <c r="D172" s="131"/>
      <c r="E172" s="131"/>
    </row>
    <row r="173" spans="1:5" ht="12.75">
      <c r="A173" s="59" t="s">
        <v>3</v>
      </c>
      <c r="B173" s="136">
        <v>6.8359000000000005</v>
      </c>
      <c r="C173" s="136">
        <v>2.8998</v>
      </c>
      <c r="D173" s="55">
        <v>6.509845</v>
      </c>
      <c r="E173" s="55">
        <v>7.161982</v>
      </c>
    </row>
    <row r="174" spans="1:5" ht="12.75">
      <c r="A174" s="59" t="s">
        <v>4</v>
      </c>
      <c r="B174" s="136">
        <v>12.718499999999999</v>
      </c>
      <c r="C174" s="136">
        <v>2.1637</v>
      </c>
      <c r="D174" s="55">
        <v>12.265849</v>
      </c>
      <c r="E174" s="55">
        <v>13.171168</v>
      </c>
    </row>
    <row r="175" spans="1:5" ht="12.75">
      <c r="A175" s="59" t="s">
        <v>5</v>
      </c>
      <c r="B175" s="136">
        <v>80.4456</v>
      </c>
      <c r="C175" s="136">
        <v>0.3956</v>
      </c>
      <c r="D175" s="55">
        <v>79.922106</v>
      </c>
      <c r="E175" s="55">
        <v>80.969049</v>
      </c>
    </row>
    <row r="176" spans="1:5" ht="12.75">
      <c r="A176" s="63" t="s">
        <v>126</v>
      </c>
      <c r="B176" s="135"/>
      <c r="C176" s="135"/>
      <c r="D176" s="135"/>
      <c r="E176" s="135"/>
    </row>
    <row r="177" spans="1:5" ht="12.75">
      <c r="A177" s="59" t="s">
        <v>6</v>
      </c>
      <c r="B177" s="74">
        <v>97.6036</v>
      </c>
      <c r="C177" s="55">
        <v>0.12310000000000001</v>
      </c>
      <c r="D177" s="55">
        <v>97.405867</v>
      </c>
      <c r="E177" s="55">
        <v>97.80128</v>
      </c>
    </row>
    <row r="178" spans="1:5" ht="12.75">
      <c r="A178" s="59" t="s">
        <v>7</v>
      </c>
      <c r="B178" s="74">
        <v>84.2298</v>
      </c>
      <c r="C178" s="55">
        <v>0.3433</v>
      </c>
      <c r="D178" s="55">
        <v>83.75416799999999</v>
      </c>
      <c r="E178" s="55">
        <v>84.705454</v>
      </c>
    </row>
    <row r="179" spans="1:5" ht="12.75">
      <c r="A179" s="59" t="s">
        <v>8</v>
      </c>
      <c r="B179" s="74">
        <v>13.3738</v>
      </c>
      <c r="C179" s="55">
        <v>2.0306</v>
      </c>
      <c r="D179" s="55">
        <v>12.927062</v>
      </c>
      <c r="E179" s="55">
        <v>13.820464</v>
      </c>
    </row>
    <row r="180" spans="1:5" ht="12.75">
      <c r="A180" s="59" t="s">
        <v>9</v>
      </c>
      <c r="B180" s="74">
        <v>2.3964</v>
      </c>
      <c r="C180" s="55">
        <v>5.015499999999999</v>
      </c>
      <c r="D180" s="55">
        <v>2.19872</v>
      </c>
      <c r="E180" s="55">
        <v>2.594133</v>
      </c>
    </row>
    <row r="181" spans="1:5" ht="12.75">
      <c r="A181" s="63" t="s">
        <v>127</v>
      </c>
      <c r="B181" s="135"/>
      <c r="C181" s="135"/>
      <c r="D181" s="135"/>
      <c r="E181" s="135"/>
    </row>
    <row r="182" spans="1:5" ht="12.75">
      <c r="A182" s="59" t="s">
        <v>10</v>
      </c>
      <c r="B182" s="55">
        <v>85.8744</v>
      </c>
      <c r="C182" s="55">
        <v>0.3448</v>
      </c>
      <c r="D182" s="55">
        <v>85.387309</v>
      </c>
      <c r="E182" s="55">
        <v>86.361467</v>
      </c>
    </row>
    <row r="183" spans="1:5" ht="12.75">
      <c r="A183" s="59" t="s">
        <v>11</v>
      </c>
      <c r="B183" s="55">
        <v>14.125599999999999</v>
      </c>
      <c r="C183" s="55">
        <v>2.0963</v>
      </c>
      <c r="D183" s="55">
        <v>13.638533</v>
      </c>
      <c r="E183" s="55">
        <v>14.612691</v>
      </c>
    </row>
    <row r="184" spans="1:5" ht="12.75">
      <c r="A184" s="63" t="s">
        <v>128</v>
      </c>
      <c r="B184" s="135"/>
      <c r="C184" s="137"/>
      <c r="D184" s="137"/>
      <c r="E184" s="137"/>
    </row>
    <row r="185" spans="1:5" ht="12.75">
      <c r="A185" s="59" t="s">
        <v>12</v>
      </c>
      <c r="B185" s="55">
        <v>93.9804</v>
      </c>
      <c r="C185" s="55">
        <v>0.2164</v>
      </c>
      <c r="D185" s="55">
        <v>93.645865</v>
      </c>
      <c r="E185" s="55">
        <v>94.31493</v>
      </c>
    </row>
    <row r="186" spans="1:5" ht="12.75">
      <c r="A186" s="59" t="s">
        <v>13</v>
      </c>
      <c r="B186" s="55">
        <v>6.0196</v>
      </c>
      <c r="C186" s="55">
        <v>3.3785999999999996</v>
      </c>
      <c r="D186" s="55">
        <v>5.68507</v>
      </c>
      <c r="E186" s="55">
        <v>6.354134999999999</v>
      </c>
    </row>
    <row r="187" spans="1:5" ht="12.75">
      <c r="A187" s="63" t="s">
        <v>14</v>
      </c>
      <c r="B187" s="135"/>
      <c r="C187" s="135"/>
      <c r="D187" s="135"/>
      <c r="E187" s="135"/>
    </row>
    <row r="188" spans="1:5" ht="12.75">
      <c r="A188" s="59" t="s">
        <v>15</v>
      </c>
      <c r="B188" s="55">
        <v>97.155</v>
      </c>
      <c r="C188" s="55">
        <v>0.14450000000000002</v>
      </c>
      <c r="D188" s="55">
        <v>96.924092</v>
      </c>
      <c r="E188" s="55">
        <v>97.385957</v>
      </c>
    </row>
    <row r="189" spans="1:5" ht="12.75">
      <c r="A189" s="59" t="s">
        <v>16</v>
      </c>
      <c r="B189" s="55">
        <v>87.7067</v>
      </c>
      <c r="C189" s="55">
        <v>0.35140000000000005</v>
      </c>
      <c r="D189" s="55">
        <v>87.199707</v>
      </c>
      <c r="E189" s="55">
        <v>88.213666</v>
      </c>
    </row>
    <row r="190" spans="1:5" ht="12.75">
      <c r="A190" s="59" t="s">
        <v>17</v>
      </c>
      <c r="B190" s="55">
        <v>9.303</v>
      </c>
      <c r="C190" s="55">
        <v>3.0549</v>
      </c>
      <c r="D190" s="55">
        <v>8.835498999999999</v>
      </c>
      <c r="E190" s="55">
        <v>9.770446000000002</v>
      </c>
    </row>
    <row r="191" spans="1:5" ht="12.75">
      <c r="A191" s="59" t="s">
        <v>18</v>
      </c>
      <c r="B191" s="142" t="s">
        <v>89</v>
      </c>
      <c r="C191" s="55"/>
      <c r="D191" s="55"/>
      <c r="E191" s="55"/>
    </row>
    <row r="192" spans="1:5" ht="12.75">
      <c r="A192" s="59" t="s">
        <v>19</v>
      </c>
      <c r="B192" s="55">
        <v>2.8449999999999998</v>
      </c>
      <c r="C192" s="55">
        <v>4.9348</v>
      </c>
      <c r="D192" s="55">
        <v>2.614043</v>
      </c>
      <c r="E192" s="55">
        <v>3.075908</v>
      </c>
    </row>
    <row r="193" spans="1:5" ht="12.75">
      <c r="A193" s="59"/>
      <c r="B193" s="53"/>
      <c r="C193" s="53"/>
      <c r="D193" s="53"/>
      <c r="E193" s="53"/>
    </row>
    <row r="194" spans="1:5" ht="12.75">
      <c r="A194" s="63" t="s">
        <v>129</v>
      </c>
      <c r="B194" s="135"/>
      <c r="C194" s="135"/>
      <c r="D194" s="135"/>
      <c r="E194" s="135"/>
    </row>
    <row r="195" spans="1:5" ht="12.75">
      <c r="A195" s="63" t="s">
        <v>21</v>
      </c>
      <c r="B195" s="135"/>
      <c r="C195" s="135"/>
      <c r="D195" s="135"/>
      <c r="E195" s="135"/>
    </row>
    <row r="196" spans="1:5" ht="12.75">
      <c r="A196" s="59" t="s">
        <v>22</v>
      </c>
      <c r="B196" s="55">
        <v>89.7611</v>
      </c>
      <c r="C196" s="55">
        <v>0.32880000000000004</v>
      </c>
      <c r="D196" s="67">
        <v>89.27564</v>
      </c>
      <c r="E196" s="67">
        <v>90.246633</v>
      </c>
    </row>
    <row r="197" spans="1:5" ht="12.75">
      <c r="A197" s="59" t="s">
        <v>23</v>
      </c>
      <c r="B197" s="55">
        <v>10.2389</v>
      </c>
      <c r="C197" s="55">
        <v>2.8827</v>
      </c>
      <c r="D197" s="67">
        <v>9.753367</v>
      </c>
      <c r="E197" s="67">
        <v>10.724359999999999</v>
      </c>
    </row>
    <row r="198" spans="1:5" ht="12.75">
      <c r="A198" s="63" t="s">
        <v>24</v>
      </c>
      <c r="B198" s="135"/>
      <c r="C198" s="135"/>
      <c r="D198" s="135"/>
      <c r="E198" s="135"/>
    </row>
    <row r="199" spans="1:5" ht="12.75">
      <c r="A199" s="59" t="s">
        <v>22</v>
      </c>
      <c r="B199" s="55">
        <v>69.9691</v>
      </c>
      <c r="C199" s="55">
        <v>0.5289</v>
      </c>
      <c r="D199" s="67">
        <v>69.360409</v>
      </c>
      <c r="E199" s="67">
        <v>70.577805</v>
      </c>
    </row>
    <row r="200" spans="1:5" ht="12.75">
      <c r="A200" s="59" t="s">
        <v>23</v>
      </c>
      <c r="B200" s="55">
        <v>30.0309</v>
      </c>
      <c r="C200" s="55">
        <v>1.2322</v>
      </c>
      <c r="D200" s="67">
        <v>29.422195000000002</v>
      </c>
      <c r="E200" s="67">
        <v>30.639591</v>
      </c>
    </row>
    <row r="201" spans="1:5" ht="12.75">
      <c r="A201" s="63" t="s">
        <v>25</v>
      </c>
      <c r="B201" s="135"/>
      <c r="C201" s="135"/>
      <c r="D201" s="135"/>
      <c r="E201" s="135"/>
    </row>
    <row r="202" spans="1:5" ht="12.75">
      <c r="A202" s="59" t="s">
        <v>22</v>
      </c>
      <c r="B202" s="55">
        <v>70.4199</v>
      </c>
      <c r="C202" s="55">
        <v>0.4945</v>
      </c>
      <c r="D202" s="67">
        <v>69.847087</v>
      </c>
      <c r="E202" s="67">
        <v>70.992628</v>
      </c>
    </row>
    <row r="203" spans="1:5" ht="12.75">
      <c r="A203" s="59" t="s">
        <v>23</v>
      </c>
      <c r="B203" s="55">
        <v>29.580099999999998</v>
      </c>
      <c r="C203" s="55">
        <v>1.1772</v>
      </c>
      <c r="D203" s="67">
        <v>29.007371999999997</v>
      </c>
      <c r="E203" s="67">
        <v>30.152912999999998</v>
      </c>
    </row>
    <row r="204" spans="1:5" ht="12.75">
      <c r="A204" s="59"/>
      <c r="B204" s="53"/>
      <c r="C204" s="53"/>
      <c r="D204" s="53"/>
      <c r="E204" s="53"/>
    </row>
    <row r="205" spans="1:5" ht="12.75">
      <c r="A205" s="59" t="s">
        <v>26</v>
      </c>
      <c r="B205" s="55">
        <v>44.4015</v>
      </c>
      <c r="C205" s="55">
        <v>0.859</v>
      </c>
      <c r="D205" s="55">
        <v>43.7741</v>
      </c>
      <c r="E205" s="67">
        <v>45.028885</v>
      </c>
    </row>
    <row r="206" spans="1:5" ht="12.75">
      <c r="A206" s="59"/>
      <c r="B206" s="53"/>
      <c r="C206" s="53"/>
      <c r="D206" s="53"/>
      <c r="E206" s="53"/>
    </row>
    <row r="207" spans="1:5" ht="12.75">
      <c r="A207" s="63" t="s">
        <v>27</v>
      </c>
      <c r="B207" s="135"/>
      <c r="C207" s="135"/>
      <c r="D207" s="135"/>
      <c r="E207" s="135"/>
    </row>
    <row r="208" spans="1:5" ht="12.75">
      <c r="A208" s="59" t="s">
        <v>86</v>
      </c>
      <c r="B208" s="83">
        <v>6.3704</v>
      </c>
      <c r="C208" s="55">
        <v>3.0935</v>
      </c>
      <c r="D208" s="55">
        <v>6.0462370000000005</v>
      </c>
      <c r="E208" s="55">
        <v>6.694542</v>
      </c>
    </row>
    <row r="209" spans="1:5" ht="12.75">
      <c r="A209" s="59" t="s">
        <v>87</v>
      </c>
      <c r="B209" s="83">
        <v>11.1239</v>
      </c>
      <c r="C209" s="55">
        <v>2.5852</v>
      </c>
      <c r="D209" s="55">
        <v>10.650848</v>
      </c>
      <c r="E209" s="55">
        <v>11.596914</v>
      </c>
    </row>
    <row r="210" spans="1:5" ht="12.75">
      <c r="A210" s="59"/>
      <c r="B210" s="53"/>
      <c r="C210" s="53"/>
      <c r="D210" s="53"/>
      <c r="E210" s="53"/>
    </row>
    <row r="211" spans="1:5" ht="12.75">
      <c r="A211" s="63" t="s">
        <v>130</v>
      </c>
      <c r="B211" s="135"/>
      <c r="C211" s="135"/>
      <c r="D211" s="135"/>
      <c r="E211" s="135"/>
    </row>
    <row r="212" spans="1:5" ht="12.75">
      <c r="A212" s="59" t="s">
        <v>28</v>
      </c>
      <c r="B212" s="55">
        <v>64.73830000000001</v>
      </c>
      <c r="C212" s="55">
        <v>0.5838</v>
      </c>
      <c r="D212" s="55">
        <v>64.116614</v>
      </c>
      <c r="E212" s="55">
        <v>65.35999799999999</v>
      </c>
    </row>
    <row r="213" spans="1:5" ht="12.75">
      <c r="A213" s="59" t="s">
        <v>29</v>
      </c>
      <c r="B213" s="55">
        <v>5.7267</v>
      </c>
      <c r="C213" s="55">
        <v>3.4084000000000003</v>
      </c>
      <c r="D213" s="55">
        <v>5.405676000000001</v>
      </c>
      <c r="E213" s="55">
        <v>6.047815</v>
      </c>
    </row>
    <row r="214" spans="1:5" ht="12.75">
      <c r="A214" s="59" t="s">
        <v>30</v>
      </c>
      <c r="B214" s="55">
        <v>18.604599999999998</v>
      </c>
      <c r="C214" s="55">
        <v>1.6145</v>
      </c>
      <c r="D214" s="55">
        <v>18.110508</v>
      </c>
      <c r="E214" s="55">
        <v>19.098639000000002</v>
      </c>
    </row>
    <row r="215" spans="1:5" ht="12.75">
      <c r="A215" s="59" t="s">
        <v>31</v>
      </c>
      <c r="B215" s="55">
        <v>9.1655</v>
      </c>
      <c r="C215" s="55">
        <v>2.5131</v>
      </c>
      <c r="D215" s="55">
        <v>8.786629</v>
      </c>
      <c r="E215" s="55">
        <v>9.544397</v>
      </c>
    </row>
    <row r="216" spans="1:5" ht="12.75">
      <c r="A216" s="59" t="s">
        <v>32</v>
      </c>
      <c r="B216" s="55">
        <v>1.7649000000000001</v>
      </c>
      <c r="C216" s="55">
        <v>5.6121</v>
      </c>
      <c r="D216" s="55">
        <v>1.6019430000000001</v>
      </c>
      <c r="E216" s="55">
        <v>1.927782</v>
      </c>
    </row>
    <row r="217" spans="1:5" ht="12.75">
      <c r="A217" s="59"/>
      <c r="B217" s="53"/>
      <c r="C217" s="55"/>
      <c r="D217" s="55"/>
      <c r="E217" s="55"/>
    </row>
    <row r="218" spans="1:5" ht="12.75">
      <c r="A218" s="63" t="s">
        <v>132</v>
      </c>
      <c r="B218" s="135"/>
      <c r="C218" s="135"/>
      <c r="D218" s="135"/>
      <c r="E218" s="135"/>
    </row>
    <row r="219" spans="1:5" ht="12.75">
      <c r="A219" s="59" t="s">
        <v>44</v>
      </c>
      <c r="B219" s="55">
        <v>14.5</v>
      </c>
      <c r="C219" s="55">
        <v>2.8</v>
      </c>
      <c r="D219" s="55">
        <v>13.59</v>
      </c>
      <c r="E219" s="55">
        <v>14.936</v>
      </c>
    </row>
    <row r="220" spans="1:5" ht="12.75">
      <c r="A220" s="59" t="s">
        <v>85</v>
      </c>
      <c r="B220" s="55">
        <v>34.3</v>
      </c>
      <c r="C220" s="55">
        <v>1.487</v>
      </c>
      <c r="D220" s="55">
        <v>33.187</v>
      </c>
      <c r="E220" s="55">
        <v>34.778</v>
      </c>
    </row>
    <row r="221" spans="1:5" ht="12.75">
      <c r="A221" s="59"/>
      <c r="B221" s="53"/>
      <c r="C221" s="53"/>
      <c r="D221" s="53"/>
      <c r="E221" s="53"/>
    </row>
    <row r="222" spans="1:5" ht="12.75">
      <c r="A222" s="63" t="s">
        <v>33</v>
      </c>
      <c r="B222" s="135"/>
      <c r="C222" s="135"/>
      <c r="D222" s="135"/>
      <c r="E222" s="135"/>
    </row>
    <row r="223" spans="1:5" ht="12.75">
      <c r="A223" s="59" t="s">
        <v>34</v>
      </c>
      <c r="B223" s="53"/>
      <c r="C223" s="53"/>
      <c r="D223" s="53"/>
      <c r="E223" s="53"/>
    </row>
    <row r="224" spans="1:5" ht="12.75">
      <c r="A224" s="59" t="s">
        <v>35</v>
      </c>
      <c r="B224" s="140">
        <v>6.32</v>
      </c>
      <c r="C224" s="140">
        <v>3.0385</v>
      </c>
      <c r="D224" s="140">
        <v>6.004127</v>
      </c>
      <c r="E224" s="140">
        <v>6.635866999999999</v>
      </c>
    </row>
    <row r="225" spans="1:5" ht="12.75">
      <c r="A225" s="59" t="s">
        <v>36</v>
      </c>
      <c r="B225" s="140">
        <v>35.2562</v>
      </c>
      <c r="C225" s="140">
        <v>1.0824</v>
      </c>
      <c r="D225" s="140">
        <v>34.628539</v>
      </c>
      <c r="E225" s="140">
        <v>35.883927</v>
      </c>
    </row>
    <row r="226" spans="1:5" ht="12.75">
      <c r="A226" s="59" t="s">
        <v>37</v>
      </c>
      <c r="B226" s="140">
        <v>32.7735</v>
      </c>
      <c r="C226" s="140">
        <v>1.122</v>
      </c>
      <c r="D226" s="140">
        <v>32.168659999999996</v>
      </c>
      <c r="E226" s="140">
        <v>33.378386</v>
      </c>
    </row>
    <row r="227" spans="1:5" ht="12.75">
      <c r="A227" s="59" t="s">
        <v>38</v>
      </c>
      <c r="B227" s="140">
        <v>14.461599999999999</v>
      </c>
      <c r="C227" s="140">
        <v>1.8870000000000002</v>
      </c>
      <c r="D227" s="140">
        <v>14.012754999999999</v>
      </c>
      <c r="E227" s="140">
        <v>14.910521</v>
      </c>
    </row>
    <row r="228" spans="1:5" ht="12.75">
      <c r="A228" s="68" t="s">
        <v>39</v>
      </c>
      <c r="B228" s="148">
        <v>11.1886</v>
      </c>
      <c r="C228" s="148">
        <v>2.2699000000000003</v>
      </c>
      <c r="D228" s="148">
        <v>10.770862000000001</v>
      </c>
      <c r="E228" s="148">
        <v>11.606356</v>
      </c>
    </row>
    <row r="229" spans="1:5" ht="12.75">
      <c r="A229" s="59"/>
      <c r="B229" s="62"/>
      <c r="C229" s="62"/>
      <c r="D229" s="62"/>
      <c r="E229" s="62"/>
    </row>
    <row r="230" spans="1:5" ht="12.75">
      <c r="A230" s="154" t="s">
        <v>114</v>
      </c>
      <c r="B230" s="155"/>
      <c r="C230" s="155"/>
      <c r="D230" s="155"/>
      <c r="E230" s="155"/>
    </row>
    <row r="231" spans="1:5" ht="12.75">
      <c r="A231" s="59" t="s">
        <v>115</v>
      </c>
      <c r="B231" s="62"/>
      <c r="C231" s="62"/>
      <c r="D231" s="62"/>
      <c r="E231" s="62"/>
    </row>
    <row r="232" spans="1:5" ht="12.75">
      <c r="A232" s="154" t="s">
        <v>117</v>
      </c>
      <c r="B232" s="155"/>
      <c r="C232" s="155"/>
      <c r="D232" s="155"/>
      <c r="E232" s="155"/>
    </row>
    <row r="233" spans="1:5" ht="12.75">
      <c r="A233" s="154" t="s">
        <v>118</v>
      </c>
      <c r="B233" s="155"/>
      <c r="C233" s="155"/>
      <c r="D233" s="155"/>
      <c r="E233" s="155"/>
    </row>
    <row r="234" spans="1:5" ht="12.75">
      <c r="A234" s="36" t="s">
        <v>91</v>
      </c>
      <c r="B234" s="130"/>
      <c r="C234" s="130"/>
      <c r="D234" s="130"/>
      <c r="E234" s="130"/>
    </row>
    <row r="236" ht="12.75">
      <c r="A236" s="59" t="s">
        <v>119</v>
      </c>
    </row>
  </sheetData>
  <sheetProtection/>
  <mergeCells count="12">
    <mergeCell ref="A232:E232"/>
    <mergeCell ref="A233:E233"/>
    <mergeCell ref="A3:A4"/>
    <mergeCell ref="B3:B4"/>
    <mergeCell ref="C3:C4"/>
    <mergeCell ref="A167:A168"/>
    <mergeCell ref="B167:B168"/>
    <mergeCell ref="C167:C168"/>
    <mergeCell ref="D3:E3"/>
    <mergeCell ref="A165:E165"/>
    <mergeCell ref="D167:E167"/>
    <mergeCell ref="A230:E2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Guevara Ivette</dc:creator>
  <cp:keywords/>
  <dc:description/>
  <cp:lastModifiedBy>Pighin Pablo</cp:lastModifiedBy>
  <cp:lastPrinted>2019-05-08T16:20:54Z</cp:lastPrinted>
  <dcterms:created xsi:type="dcterms:W3CDTF">2018-08-23T13:52:03Z</dcterms:created>
  <dcterms:modified xsi:type="dcterms:W3CDTF">2019-05-08T17:57:46Z</dcterms:modified>
  <cp:category/>
  <cp:version/>
  <cp:contentType/>
  <cp:contentStatus/>
</cp:coreProperties>
</file>